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FC14713610.lifefin.intra\Usr\S9237\My Documents\Desktop\Opinnäytetyö Lopullinen\"/>
    </mc:Choice>
  </mc:AlternateContent>
  <xr:revisionPtr revIDLastSave="0" documentId="13_ncr:1_{5DEA5ACA-C118-4CEE-AC17-70001D4E48AC}" xr6:coauthVersionLast="45" xr6:coauthVersionMax="45" xr10:uidLastSave="{00000000-0000-0000-0000-000000000000}"/>
  <bookViews>
    <workbookView xWindow="-120" yWindow="-120" windowWidth="29040" windowHeight="15840" xr2:uid="{2F76C9C1-E540-4C54-AA06-D69F76DA6687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" i="1" l="1"/>
  <c r="B2" i="1" l="1"/>
  <c r="B27" i="1" s="1"/>
  <c r="B37" i="1" l="1"/>
  <c r="B38" i="1" s="1"/>
  <c r="C37" i="1"/>
  <c r="C38" i="1" s="1"/>
  <c r="B28" i="1"/>
  <c r="D27" i="1"/>
  <c r="D28" i="1" s="1"/>
  <c r="C13" i="1"/>
  <c r="C27" i="1"/>
  <c r="C28" i="1" s="1"/>
  <c r="E13" i="1"/>
  <c r="G13" i="1"/>
  <c r="G14" i="1" s="1"/>
  <c r="B3" i="1" l="1"/>
  <c r="B31" i="1" l="1"/>
  <c r="B32" i="1" s="1"/>
  <c r="B33" i="1" s="1"/>
  <c r="B39" i="1" s="1"/>
  <c r="B40" i="1" s="1"/>
  <c r="G18" i="1"/>
  <c r="G19" i="1" s="1"/>
  <c r="D29" i="1"/>
  <c r="C29" i="1"/>
  <c r="C41" i="1" s="1"/>
  <c r="G15" i="1"/>
  <c r="E18" i="1"/>
  <c r="D31" i="1"/>
  <c r="D32" i="1" s="1"/>
  <c r="D33" i="1" s="1"/>
  <c r="D39" i="1" s="1"/>
  <c r="D40" i="1" s="1"/>
  <c r="C31" i="1"/>
  <c r="C32" i="1" s="1"/>
  <c r="C33" i="1" s="1"/>
  <c r="C39" i="1" s="1"/>
  <c r="C40" i="1" s="1"/>
  <c r="B29" i="1"/>
  <c r="B41" i="1" s="1"/>
  <c r="F18" i="1"/>
  <c r="D18" i="1"/>
  <c r="C18" i="1"/>
  <c r="B18" i="1"/>
  <c r="B19" i="1" s="1"/>
  <c r="B20" i="1" s="1"/>
  <c r="B15" i="1"/>
  <c r="C14" i="1"/>
  <c r="F13" i="1"/>
  <c r="D13" i="1"/>
  <c r="B13" i="1"/>
  <c r="B14" i="1" s="1"/>
  <c r="D37" i="1"/>
  <c r="D38" i="1" s="1"/>
  <c r="D41" i="1" l="1"/>
  <c r="G20" i="1"/>
  <c r="E19" i="1"/>
  <c r="E20" i="1" s="1"/>
  <c r="D19" i="1"/>
  <c r="D20" i="1" s="1"/>
  <c r="F19" i="1"/>
  <c r="F20" i="1" s="1"/>
  <c r="C19" i="1" l="1"/>
  <c r="C20" i="1" s="1"/>
  <c r="F15" i="1" l="1"/>
  <c r="E15" i="1"/>
  <c r="D15" i="1"/>
  <c r="C15" i="1"/>
  <c r="F14" i="1" l="1"/>
  <c r="F22" i="1" s="1"/>
  <c r="E14" i="1"/>
  <c r="D14" i="1"/>
  <c r="G22" i="1" l="1"/>
  <c r="D16" i="1"/>
  <c r="D22" i="1"/>
  <c r="E16" i="1"/>
  <c r="E22" i="1"/>
  <c r="C16" i="1"/>
  <c r="C22" i="1"/>
  <c r="F16" i="1"/>
  <c r="G16" i="1"/>
  <c r="B22" i="1"/>
  <c r="B16" i="1"/>
</calcChain>
</file>

<file path=xl/sharedStrings.xml><?xml version="1.0" encoding="utf-8"?>
<sst xmlns="http://schemas.openxmlformats.org/spreadsheetml/2006/main" count="42" uniqueCount="33">
  <si>
    <t>Tulospalkkio ilman sivukuluja</t>
  </si>
  <si>
    <t>Palkkio nostettaessa käteisenä</t>
  </si>
  <si>
    <t>Sijoitustoiminnan tuotto</t>
  </si>
  <si>
    <t>Veroprosentti</t>
  </si>
  <si>
    <t>Työnantajan henkilösivukulut</t>
  </si>
  <si>
    <t>Työntekijän henkilösivukulut</t>
  </si>
  <si>
    <t>Rahaston verovapaa osa</t>
  </si>
  <si>
    <t>10 vuotta</t>
  </si>
  <si>
    <t>20 vuotta</t>
  </si>
  <si>
    <t>30 vuotta</t>
  </si>
  <si>
    <t>15 vuotta</t>
  </si>
  <si>
    <t>5 vuotta</t>
  </si>
  <si>
    <t>25 vuotta</t>
  </si>
  <si>
    <t>Erotus</t>
  </si>
  <si>
    <t>Oman sijoitustoiminnan tuotto</t>
  </si>
  <si>
    <t>Itsesijoittettuna 4% tuotolla</t>
  </si>
  <si>
    <t>Rahaston arvo eläkkeen alkaessa</t>
  </si>
  <si>
    <t>Palkkiot käteisenä</t>
  </si>
  <si>
    <t>Rahaston arvo tilikauden alussa,      4% tuotolla</t>
  </si>
  <si>
    <t>Pääoma verojen jälkeen</t>
  </si>
  <si>
    <t>Korkotuotto</t>
  </si>
  <si>
    <t>35-vuotias</t>
  </si>
  <si>
    <t>45-vuotias</t>
  </si>
  <si>
    <t>55-vuotias</t>
  </si>
  <si>
    <t>Erotus henkilöstörahaston / ei tee mitään välillä</t>
  </si>
  <si>
    <t>Eläkettä lisää palkkioista/ vuosi</t>
  </si>
  <si>
    <t>Eläke yhteensä eliniänodotteen mukaisen eläkkeelläolon aikana</t>
  </si>
  <si>
    <t>Eläkekertymä ja 4% tuotolla itsesijoitetut käteispalkkiot yhteensä</t>
  </si>
  <si>
    <t>Henkilöstörahasto - itsesijoitetut käteispalkkiot ja eläkekertymä palkkioista</t>
  </si>
  <si>
    <t>Käteispalkkiot itsesijoitettuna 4% tuotolla</t>
  </si>
  <si>
    <t>Vivutettu rahastoon maksettava palkkio</t>
  </si>
  <si>
    <t>(Tätä voi muuttaa)</t>
  </si>
  <si>
    <t>lisätty 4 prosenttia kaavalla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</si>
</sst>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\ %"/>
    <numFmt numFmtId="165" formatCode="_-* #,##0\ [$€-40B]_-;\-* #,##0\ [$€-40B]_-;_-* &quot;-&quot;??\ [$€-40B]_-;_-@_-"/>
    <numFmt numFmtId="166" formatCode="_-* #,##0\ &quot;€&quot;_-;\-* #,##0\ &quot;€&quot;_-;_-* &quot;-&quot;??\ &quot;€&quot;_-;_-@_-"/>
    <numFmt numFmtId="167" formatCode="#,##0\ &quot;€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9" fontId="0" fillId="0" borderId="0" xfId="2" applyFont="1"/>
    <xf numFmtId="164" fontId="0" fillId="0" borderId="0" xfId="2" applyNumberFormat="1" applyFont="1"/>
    <xf numFmtId="165" fontId="0" fillId="0" borderId="0" xfId="1" applyNumberFormat="1" applyFont="1"/>
    <xf numFmtId="165" fontId="0" fillId="0" borderId="0" xfId="0" applyNumberFormat="1"/>
    <xf numFmtId="166" fontId="0" fillId="0" borderId="0" xfId="1" applyNumberFormat="1" applyFont="1"/>
    <xf numFmtId="166" fontId="0" fillId="0" borderId="0" xfId="0" applyNumberFormat="1"/>
    <xf numFmtId="1" fontId="0" fillId="0" borderId="0" xfId="0" applyNumberFormat="1"/>
    <xf numFmtId="167" fontId="0" fillId="0" borderId="0" xfId="0" applyNumberFormat="1"/>
    <xf numFmtId="0" fontId="0" fillId="4" borderId="0" xfId="0" applyFill="1"/>
    <xf numFmtId="165" fontId="0" fillId="4" borderId="0" xfId="0" applyNumberFormat="1" applyFill="1"/>
    <xf numFmtId="0" fontId="2" fillId="0" borderId="0" xfId="0" applyFont="1"/>
    <xf numFmtId="0" fontId="2" fillId="2" borderId="0" xfId="0" applyFont="1" applyFill="1"/>
    <xf numFmtId="0" fontId="2" fillId="3" borderId="0" xfId="0" applyFont="1" applyFill="1"/>
    <xf numFmtId="165" fontId="2" fillId="2" borderId="0" xfId="0" applyNumberFormat="1" applyFont="1" applyFill="1"/>
    <xf numFmtId="165" fontId="2" fillId="3" borderId="0" xfId="0" applyNumberFormat="1" applyFont="1" applyFill="1"/>
    <xf numFmtId="0" fontId="2" fillId="0" borderId="0" xfId="0" applyFont="1" applyAlignment="1">
      <alignment wrapText="1"/>
    </xf>
    <xf numFmtId="0" fontId="0" fillId="5" borderId="1" xfId="0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7D4BC-16CA-44B8-B5CD-D1ED554FA9E7}">
  <dimension ref="A1:J50"/>
  <sheetViews>
    <sheetView tabSelected="1" topLeftCell="A15" zoomScale="106" workbookViewId="0">
      <selection activeCell="J31" sqref="J31"/>
    </sheetView>
  </sheetViews>
  <sheetFormatPr defaultRowHeight="15" x14ac:dyDescent="0.25"/>
  <cols>
    <col min="1" max="1" width="40.140625" customWidth="1"/>
    <col min="2" max="2" width="11.28515625" customWidth="1"/>
    <col min="3" max="3" width="11.7109375" customWidth="1"/>
    <col min="4" max="7" width="11.85546875" bestFit="1" customWidth="1"/>
    <col min="16" max="16" width="9.140625" customWidth="1"/>
  </cols>
  <sheetData>
    <row r="1" spans="1:7" x14ac:dyDescent="0.25">
      <c r="A1" s="11" t="s">
        <v>0</v>
      </c>
      <c r="B1" s="17">
        <v>2000</v>
      </c>
      <c r="C1" s="11" t="s">
        <v>31</v>
      </c>
    </row>
    <row r="2" spans="1:7" x14ac:dyDescent="0.25">
      <c r="A2" s="11" t="s">
        <v>30</v>
      </c>
      <c r="B2">
        <f>B1+B1*B9</f>
        <v>2460</v>
      </c>
    </row>
    <row r="3" spans="1:7" x14ac:dyDescent="0.25">
      <c r="A3" s="11" t="s">
        <v>1</v>
      </c>
      <c r="B3">
        <f>B1*(1-B7-B8)</f>
        <v>1200</v>
      </c>
    </row>
    <row r="4" spans="1:7" x14ac:dyDescent="0.25">
      <c r="A4" s="11"/>
    </row>
    <row r="5" spans="1:7" x14ac:dyDescent="0.25">
      <c r="A5" s="11" t="s">
        <v>14</v>
      </c>
      <c r="B5" s="1">
        <v>0.04</v>
      </c>
    </row>
    <row r="6" spans="1:7" x14ac:dyDescent="0.25">
      <c r="A6" s="11" t="s">
        <v>2</v>
      </c>
      <c r="B6" s="2">
        <v>0.04</v>
      </c>
    </row>
    <row r="7" spans="1:7" x14ac:dyDescent="0.25">
      <c r="A7" s="11" t="s">
        <v>3</v>
      </c>
      <c r="B7" s="1">
        <v>0.3</v>
      </c>
      <c r="E7" t="s">
        <v>32</v>
      </c>
    </row>
    <row r="8" spans="1:7" x14ac:dyDescent="0.25">
      <c r="A8" s="11" t="s">
        <v>4</v>
      </c>
      <c r="B8" s="1">
        <v>0.1</v>
      </c>
      <c r="E8">
        <f>B2*(1-((1+1*B6)^15))/(1-(1+1*B6))</f>
        <v>49258.025588675337</v>
      </c>
    </row>
    <row r="9" spans="1:7" x14ac:dyDescent="0.25">
      <c r="A9" s="11" t="s">
        <v>5</v>
      </c>
      <c r="B9" s="1">
        <v>0.23</v>
      </c>
    </row>
    <row r="10" spans="1:7" x14ac:dyDescent="0.25">
      <c r="A10" s="11" t="s">
        <v>6</v>
      </c>
      <c r="B10" s="1">
        <v>0.2</v>
      </c>
    </row>
    <row r="12" spans="1:7" x14ac:dyDescent="0.25">
      <c r="B12" s="11" t="s">
        <v>11</v>
      </c>
      <c r="C12" s="11" t="s">
        <v>7</v>
      </c>
      <c r="D12" s="11" t="s">
        <v>10</v>
      </c>
      <c r="E12" s="11" t="s">
        <v>8</v>
      </c>
      <c r="F12" s="11" t="s">
        <v>12</v>
      </c>
      <c r="G12" s="11" t="s">
        <v>9</v>
      </c>
    </row>
    <row r="13" spans="1:7" ht="36" customHeight="1" x14ac:dyDescent="0.25">
      <c r="A13" s="16" t="s">
        <v>18</v>
      </c>
      <c r="B13" s="5">
        <f>B2*(1-((1+1*B6)^5))/(1-(1+1*B6))</f>
        <v>13324.153497600011</v>
      </c>
      <c r="C13" s="5">
        <f>B2*(1-((1+1*B6)^10))/(1-(1+1*B6))</f>
        <v>29535.023522478165</v>
      </c>
      <c r="D13" s="5">
        <f>B2*(1-((1+1*B6)^15))/(1-(1+1*B6))</f>
        <v>49258.025588675337</v>
      </c>
      <c r="E13" s="5">
        <f>B2*(1-((1+1*B6)^20))/(1-(1+1*B6))</f>
        <v>73254.073296555347</v>
      </c>
      <c r="F13" s="5">
        <f>B2*(1-((1+1*B6)^25))/(1-(1+1*B6))</f>
        <v>102448.93438647645</v>
      </c>
      <c r="G13" s="5">
        <f>B2*(1-((1+1*B6)^30))/(1-(1+1*B6))</f>
        <v>137968.94686669373</v>
      </c>
    </row>
    <row r="14" spans="1:7" x14ac:dyDescent="0.25">
      <c r="A14" s="11" t="s">
        <v>19</v>
      </c>
      <c r="B14" s="3">
        <f>B13*B10+(1-B10)*B13*0.7</f>
        <v>10126.356658176008</v>
      </c>
      <c r="C14" s="4">
        <f>C13*B10+(1-B10)*C13*0.7</f>
        <v>22446.617877083409</v>
      </c>
      <c r="D14" s="4">
        <f>D13*B10+(1-B10)*D13*0.7</f>
        <v>37436.099447393251</v>
      </c>
      <c r="E14" s="4">
        <f>E13*B10+(1-B10)*E13*0.7</f>
        <v>55673.095705382068</v>
      </c>
      <c r="F14" s="4">
        <f>F13*B10+(1-B10)*F13*0.7</f>
        <v>77861.190133722121</v>
      </c>
      <c r="G14" s="4">
        <f>G13*B10+(1-B10)*G13*0.7</f>
        <v>104856.39961868722</v>
      </c>
    </row>
    <row r="15" spans="1:7" x14ac:dyDescent="0.25">
      <c r="A15" s="11" t="s">
        <v>17</v>
      </c>
      <c r="B15" s="5">
        <f>5*B3</f>
        <v>6000</v>
      </c>
      <c r="C15" s="5">
        <f>10*B3</f>
        <v>12000</v>
      </c>
      <c r="D15" s="5">
        <f>15*B3</f>
        <v>18000</v>
      </c>
      <c r="E15" s="5">
        <f>20*B3</f>
        <v>24000</v>
      </c>
      <c r="F15" s="5">
        <f>25*B3</f>
        <v>30000</v>
      </c>
      <c r="G15" s="5">
        <f>30*B3</f>
        <v>36000</v>
      </c>
    </row>
    <row r="16" spans="1:7" x14ac:dyDescent="0.25">
      <c r="A16" s="12" t="s">
        <v>13</v>
      </c>
      <c r="B16" s="14">
        <f t="shared" ref="B16:G16" si="0">B14-B15</f>
        <v>4126.3566581760078</v>
      </c>
      <c r="C16" s="14">
        <f t="shared" si="0"/>
        <v>10446.617877083409</v>
      </c>
      <c r="D16" s="14">
        <f t="shared" si="0"/>
        <v>19436.099447393251</v>
      </c>
      <c r="E16" s="14">
        <f t="shared" si="0"/>
        <v>31673.095705382068</v>
      </c>
      <c r="F16" s="14">
        <f t="shared" si="0"/>
        <v>47861.190133722121</v>
      </c>
      <c r="G16" s="14">
        <f t="shared" si="0"/>
        <v>68856.399618687225</v>
      </c>
    </row>
    <row r="17" spans="1:7" x14ac:dyDescent="0.25">
      <c r="A17" s="11"/>
    </row>
    <row r="18" spans="1:7" x14ac:dyDescent="0.25">
      <c r="A18" s="11" t="s">
        <v>15</v>
      </c>
      <c r="B18" s="5">
        <f>B3*(1-((1+1*B5)^5))/(1-(1+1*B5))</f>
        <v>6499.5870720000039</v>
      </c>
      <c r="C18" s="5">
        <f>B3*(1-((1+1*B5)^10))/(1-(1+1*B5))</f>
        <v>14407.328547550325</v>
      </c>
      <c r="D18" s="5">
        <f>B3*(1-((1+1*B5)^15))/(1-(1+1*B5))</f>
        <v>24028.305165207479</v>
      </c>
      <c r="E18" s="5">
        <f>B3*(1-((1+1*B5)^20))/(1-(1+1*B5))</f>
        <v>35733.694291002605</v>
      </c>
      <c r="F18" s="5">
        <f>B3*(1-((1+1*B5)^25))/(1-(1+1*B5))</f>
        <v>49975.089944622661</v>
      </c>
      <c r="G18" s="5">
        <f>B3*(1-((1+1*B5)^30))/(1-(1+1*B5))</f>
        <v>67301.925300826217</v>
      </c>
    </row>
    <row r="19" spans="1:7" x14ac:dyDescent="0.25">
      <c r="A19" s="11" t="s">
        <v>20</v>
      </c>
      <c r="B19" s="6">
        <f>B18-B3*5</f>
        <v>499.5870720000039</v>
      </c>
      <c r="C19" s="6">
        <f>C18-B3*10</f>
        <v>2407.3285475503253</v>
      </c>
      <c r="D19" s="6">
        <f>D18-B3*15</f>
        <v>6028.3051652074791</v>
      </c>
      <c r="E19" s="6">
        <f>E18-B3*20</f>
        <v>11733.694291002605</v>
      </c>
      <c r="F19" s="6">
        <f>F18-B3*25</f>
        <v>19975.089944622661</v>
      </c>
      <c r="G19" s="6">
        <f>G18-B3*30</f>
        <v>31301.925300826217</v>
      </c>
    </row>
    <row r="20" spans="1:7" x14ac:dyDescent="0.25">
      <c r="A20" s="11" t="s">
        <v>17</v>
      </c>
      <c r="B20" s="6">
        <f>B19*0.7+B18-B19</f>
        <v>6349.7109504000027</v>
      </c>
      <c r="C20" s="6">
        <f t="shared" ref="C20:G20" si="1">C19*0.7+C18-C19</f>
        <v>13685.129983285227</v>
      </c>
      <c r="D20" s="6">
        <f t="shared" si="1"/>
        <v>22219.813615645235</v>
      </c>
      <c r="E20" s="6">
        <f t="shared" si="1"/>
        <v>32213.586003701821</v>
      </c>
      <c r="F20" s="6">
        <f t="shared" si="1"/>
        <v>43982.562961235861</v>
      </c>
      <c r="G20" s="6">
        <f t="shared" si="1"/>
        <v>57911.347710578353</v>
      </c>
    </row>
    <row r="21" spans="1:7" x14ac:dyDescent="0.25">
      <c r="A21" s="11"/>
    </row>
    <row r="22" spans="1:7" x14ac:dyDescent="0.25">
      <c r="A22" s="13" t="s">
        <v>13</v>
      </c>
      <c r="B22" s="15">
        <f t="shared" ref="B22:E22" si="2">B14-B20</f>
        <v>3776.6457077760051</v>
      </c>
      <c r="C22" s="15">
        <f t="shared" si="2"/>
        <v>8761.4878937981812</v>
      </c>
      <c r="D22" s="15">
        <f t="shared" si="2"/>
        <v>15216.285831748017</v>
      </c>
      <c r="E22" s="15">
        <f t="shared" si="2"/>
        <v>23459.509701680247</v>
      </c>
      <c r="F22" s="15">
        <f>F14-F20</f>
        <v>33878.62717248626</v>
      </c>
      <c r="G22" s="15">
        <f>G14-G20</f>
        <v>46945.051908108871</v>
      </c>
    </row>
    <row r="23" spans="1:7" x14ac:dyDescent="0.25">
      <c r="A23" s="9"/>
      <c r="B23" s="10"/>
      <c r="C23" s="10"/>
      <c r="D23" s="10"/>
      <c r="E23" s="10"/>
      <c r="F23" s="10"/>
      <c r="G23" s="10"/>
    </row>
    <row r="26" spans="1:7" x14ac:dyDescent="0.25">
      <c r="B26" s="11" t="s">
        <v>21</v>
      </c>
      <c r="C26" s="11" t="s">
        <v>22</v>
      </c>
      <c r="D26" s="11" t="s">
        <v>23</v>
      </c>
    </row>
    <row r="27" spans="1:7" x14ac:dyDescent="0.25">
      <c r="A27" s="11" t="s">
        <v>16</v>
      </c>
      <c r="B27" s="8">
        <f>B2*(1-((1+1*B6)^32))/(1-(1+1*B6))</f>
        <v>154245.61293101596</v>
      </c>
      <c r="C27" s="8">
        <f>B2*(1-((1+1*B6)^21))/(1-(1+1*B6))</f>
        <v>78644.236228417591</v>
      </c>
      <c r="D27" s="8">
        <f>B2*(1-((1+1*B6)^10))/(1-(1+1*B6))</f>
        <v>29535.023522478165</v>
      </c>
    </row>
    <row r="28" spans="1:7" x14ac:dyDescent="0.25">
      <c r="A28" s="11" t="s">
        <v>19</v>
      </c>
      <c r="B28" s="8">
        <f>B27*B10+(1-B10)*B27*0.7</f>
        <v>117226.66582757214</v>
      </c>
      <c r="C28" s="8">
        <f>C27*B10+(1-B10)*C27*0.7</f>
        <v>59769.619533597375</v>
      </c>
      <c r="D28" s="8">
        <f>D27*B10+(1-B10)*D27*0.7</f>
        <v>22446.617877083409</v>
      </c>
    </row>
    <row r="29" spans="1:7" x14ac:dyDescent="0.25">
      <c r="A29" s="11" t="s">
        <v>17</v>
      </c>
      <c r="B29" s="8">
        <f>32*B3</f>
        <v>38400</v>
      </c>
      <c r="C29" s="8">
        <f>21*B3</f>
        <v>25200</v>
      </c>
      <c r="D29" s="8">
        <f>10*B3</f>
        <v>12000</v>
      </c>
    </row>
    <row r="30" spans="1:7" x14ac:dyDescent="0.25">
      <c r="A30" s="11"/>
      <c r="B30" s="8"/>
      <c r="C30" s="8"/>
      <c r="D30" s="8"/>
    </row>
    <row r="31" spans="1:7" x14ac:dyDescent="0.25">
      <c r="A31" s="16" t="s">
        <v>29</v>
      </c>
      <c r="B31" s="8">
        <f>B3*(1-((1+1*B5)^32))/(1-(1+1*B5))</f>
        <v>75241.762405373636</v>
      </c>
      <c r="C31" s="8">
        <f>B3*(1-((1+1*B5)^21))/(1-(1+1*B5))</f>
        <v>38363.042062642729</v>
      </c>
      <c r="D31" s="8">
        <f>B3*(1-((1+1*B5)^10))/(1-(1+1*B5))</f>
        <v>14407.328547550325</v>
      </c>
    </row>
    <row r="32" spans="1:7" x14ac:dyDescent="0.25">
      <c r="A32" s="11" t="s">
        <v>20</v>
      </c>
      <c r="B32" s="8">
        <f>B31-B3*32</f>
        <v>36841.762405373636</v>
      </c>
      <c r="C32" s="8">
        <f>C31-B3*21</f>
        <v>13163.042062642729</v>
      </c>
      <c r="D32" s="8">
        <f>D31-B3*10</f>
        <v>2407.3285475503253</v>
      </c>
    </row>
    <row r="33" spans="1:5" x14ac:dyDescent="0.25">
      <c r="A33" s="11" t="s">
        <v>19</v>
      </c>
      <c r="B33" s="8">
        <f>B32*0.7+B31-B32</f>
        <v>64189.233683761544</v>
      </c>
      <c r="C33" s="8">
        <f>C32*0.7+C31-C32</f>
        <v>34414.12944384991</v>
      </c>
      <c r="D33" s="8">
        <f>D32*0.7+D31-D32</f>
        <v>13685.129983285227</v>
      </c>
    </row>
    <row r="36" spans="1:5" x14ac:dyDescent="0.25">
      <c r="B36" s="11" t="s">
        <v>21</v>
      </c>
      <c r="C36" s="11" t="s">
        <v>22</v>
      </c>
      <c r="D36" s="11" t="s">
        <v>23</v>
      </c>
    </row>
    <row r="37" spans="1:5" x14ac:dyDescent="0.25">
      <c r="A37" s="11" t="s">
        <v>25</v>
      </c>
      <c r="B37" s="8">
        <f>B1*32*0.015</f>
        <v>960</v>
      </c>
      <c r="C37" s="8">
        <f>B1*21*0.015</f>
        <v>630</v>
      </c>
      <c r="D37" s="8">
        <f>B1*10*0.015</f>
        <v>300</v>
      </c>
    </row>
    <row r="38" spans="1:5" ht="38.25" customHeight="1" x14ac:dyDescent="0.25">
      <c r="A38" s="16" t="s">
        <v>26</v>
      </c>
      <c r="B38" s="8">
        <f>(B37*22+B37/12*10)*0.8</f>
        <v>17536</v>
      </c>
      <c r="C38" s="8">
        <f>(C37*22+C37/12*5)*0.8</f>
        <v>11298</v>
      </c>
      <c r="D38" s="8">
        <f>(D37*21+D37/12*11)*0.8</f>
        <v>5260</v>
      </c>
    </row>
    <row r="39" spans="1:5" ht="45" customHeight="1" x14ac:dyDescent="0.25">
      <c r="A39" s="16" t="s">
        <v>27</v>
      </c>
      <c r="B39" s="6">
        <f>B33+B38</f>
        <v>81725.233683761544</v>
      </c>
      <c r="C39" s="6">
        <f>C33+C38</f>
        <v>45712.12944384991</v>
      </c>
      <c r="D39" s="6">
        <f>D33+D38</f>
        <v>18945.129983285227</v>
      </c>
    </row>
    <row r="40" spans="1:5" ht="30" x14ac:dyDescent="0.25">
      <c r="A40" s="16" t="s">
        <v>28</v>
      </c>
      <c r="B40" s="4">
        <f>B28-B39</f>
        <v>35501.432143810598</v>
      </c>
      <c r="C40" s="4">
        <f>C28-C39</f>
        <v>14057.490089747465</v>
      </c>
      <c r="D40" s="4">
        <f>D28-D39</f>
        <v>3501.4878937981812</v>
      </c>
    </row>
    <row r="41" spans="1:5" ht="30" x14ac:dyDescent="0.25">
      <c r="A41" s="16" t="s">
        <v>24</v>
      </c>
      <c r="B41" s="4">
        <f>B28-(B29+B38)</f>
        <v>61290.665827572142</v>
      </c>
      <c r="C41" s="4">
        <f>C28-(C29+C38)</f>
        <v>23271.619533597375</v>
      </c>
      <c r="D41" s="4">
        <f>D28-(D29+D38)</f>
        <v>5186.6178770834085</v>
      </c>
    </row>
    <row r="46" spans="1:5" x14ac:dyDescent="0.25">
      <c r="C46" s="7"/>
      <c r="D46" s="7"/>
      <c r="E46" s="7"/>
    </row>
    <row r="47" spans="1:5" x14ac:dyDescent="0.25">
      <c r="B47" s="7"/>
      <c r="C47" s="7"/>
      <c r="D47" s="7"/>
    </row>
    <row r="48" spans="1:5" x14ac:dyDescent="0.25">
      <c r="B48" s="7"/>
      <c r="C48" s="7"/>
      <c r="D48" s="7"/>
    </row>
    <row r="50" spans="4:10" x14ac:dyDescent="0.25">
      <c r="D50" s="7"/>
      <c r="F50" s="7"/>
      <c r="H50" s="7"/>
      <c r="J50" s="7"/>
    </row>
  </sheetData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Lys Aarend</dc:creator>
  <cp:lastModifiedBy>Ruuska Antti</cp:lastModifiedBy>
  <cp:lastPrinted>2020-06-09T17:35:28Z</cp:lastPrinted>
  <dcterms:created xsi:type="dcterms:W3CDTF">2019-10-15T15:02:37Z</dcterms:created>
  <dcterms:modified xsi:type="dcterms:W3CDTF">2020-06-09T17:50:59Z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149661a-6000-46fd-98d1-837858ec7751_Enabled">
    <vt:lpwstr>True</vt:lpwstr>
  </property>
  <property fmtid="{D5CDD505-2E9C-101B-9397-08002B2CF9AE}" pid="3" name="MSIP_Label_3149661a-6000-46fd-98d1-837858ec7751_SiteId">
    <vt:lpwstr>9f8c7ec0-7602-4a99-84b7-b7cc0bacebad</vt:lpwstr>
  </property>
  <property fmtid="{D5CDD505-2E9C-101B-9397-08002B2CF9AE}" pid="4" name="MSIP_Label_3149661a-6000-46fd-98d1-837858ec7751_Owner">
    <vt:lpwstr>Antti.Ruuska@mandatumlife.fi</vt:lpwstr>
  </property>
  <property fmtid="{D5CDD505-2E9C-101B-9397-08002B2CF9AE}" pid="5" name="MSIP_Label_3149661a-6000-46fd-98d1-837858ec7751_SetDate">
    <vt:lpwstr>2020-06-03T16:41:04.9822578Z</vt:lpwstr>
  </property>
  <property fmtid="{D5CDD505-2E9C-101B-9397-08002B2CF9AE}" pid="6" name="MSIP_Label_3149661a-6000-46fd-98d1-837858ec7751_Name">
    <vt:lpwstr>Luottamuksellinen</vt:lpwstr>
  </property>
  <property fmtid="{D5CDD505-2E9C-101B-9397-08002B2CF9AE}" pid="7" name="MSIP_Label_3149661a-6000-46fd-98d1-837858ec7751_Application">
    <vt:lpwstr>Microsoft Azure Information Protection</vt:lpwstr>
  </property>
  <property fmtid="{D5CDD505-2E9C-101B-9397-08002B2CF9AE}" pid="8" name="MSIP_Label_3149661a-6000-46fd-98d1-837858ec7751_ActionId">
    <vt:lpwstr>b88ad888-c2f3-44e1-969a-b123109cb244</vt:lpwstr>
  </property>
  <property fmtid="{D5CDD505-2E9C-101B-9397-08002B2CF9AE}" pid="9" name="MSIP_Label_3149661a-6000-46fd-98d1-837858ec7751_Extended_MSFT_Method">
    <vt:lpwstr>Automatic</vt:lpwstr>
  </property>
  <property fmtid="{D5CDD505-2E9C-101B-9397-08002B2CF9AE}" pid="10" name="Sensitivity">
    <vt:lpwstr>Luottamuksellinen</vt:lpwstr>
  </property>
</Properties>
</file>