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1.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2.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3.xml" ContentType="application/vnd.openxmlformats-officedocument.themeOverride+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showInkAnnotation="0"/>
  <mc:AlternateContent xmlns:mc="http://schemas.openxmlformats.org/markup-compatibility/2006">
    <mc:Choice Requires="x15">
      <x15ac:absPath xmlns:x15ac="http://schemas.microsoft.com/office/spreadsheetml/2010/11/ac" url="C:\Users\Hanna-Mari\Desktop\JAMK_ Excel_tehtävät\"/>
    </mc:Choice>
  </mc:AlternateContent>
  <xr:revisionPtr revIDLastSave="0" documentId="13_ncr:1_{FCBCE60B-0B6F-409F-80AB-68408D29D66B}" xr6:coauthVersionLast="47" xr6:coauthVersionMax="47" xr10:uidLastSave="{00000000-0000-0000-0000-000000000000}"/>
  <bookViews>
    <workbookView xWindow="-110" yWindow="-110" windowWidth="19420" windowHeight="10420" tabRatio="838" xr2:uid="{00000000-000D-0000-FFFF-FFFF00000000}"/>
  </bookViews>
  <sheets>
    <sheet name="Info" sheetId="8" r:id="rId1"/>
    <sheet name="Energia" sheetId="12" r:id="rId2"/>
    <sheet name="Matkustaminen" sheetId="1" r:id="rId3"/>
    <sheet name="Jäte" sheetId="3" r:id="rId4"/>
    <sheet name="Hankinnat" sheetId="4" r:id="rId5"/>
    <sheet name="Palvelut &amp; Tapahtumat" sheetId="6" r:id="rId6"/>
    <sheet name="Hiilijalanjälki" sheetId="7" r:id="rId7"/>
    <sheet name="Eritellyt tulokset" sheetId="13" r:id="rId8"/>
    <sheet name="Laskennan perusteet" sheetId="14" r:id="rId9"/>
    <sheet name="Kertoimet" sheetId="11" r:id="rId10"/>
    <sheet name="Muutosloki" sheetId="10" r:id="rId11"/>
    <sheet name="Järjestön omat muistiinpanot" sheetId="15"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3" i="13" l="1"/>
  <c r="C82" i="13"/>
  <c r="C81" i="13"/>
  <c r="C80" i="13"/>
  <c r="C79" i="13"/>
  <c r="B84" i="13"/>
  <c r="E17" i="15" l="1"/>
  <c r="C71" i="13"/>
  <c r="C73" i="13" s="1"/>
  <c r="C72" i="13"/>
  <c r="B73" i="13"/>
  <c r="C7" i="6" l="1"/>
  <c r="B7" i="6"/>
  <c r="B7" i="3"/>
  <c r="B6" i="3"/>
  <c r="B6" i="12"/>
  <c r="N10" i="15"/>
  <c r="B13" i="3"/>
  <c r="B7" i="1"/>
  <c r="B15" i="12"/>
  <c r="N13" i="15"/>
  <c r="C59" i="6"/>
  <c r="A59" i="6"/>
  <c r="C47" i="6" l="1"/>
  <c r="C45" i="6"/>
  <c r="C46" i="6"/>
  <c r="C45" i="11" l="1"/>
  <c r="C33" i="6"/>
  <c r="C34" i="6"/>
  <c r="C129" i="11"/>
  <c r="C36" i="6" s="1"/>
  <c r="C128" i="11"/>
  <c r="C35" i="6" s="1"/>
  <c r="C125" i="11"/>
  <c r="C32" i="6" s="1"/>
  <c r="A36" i="6"/>
  <c r="C121" i="11"/>
  <c r="C28" i="6" s="1"/>
  <c r="C6" i="3"/>
  <c r="B38" i="13" s="1"/>
  <c r="C7" i="3"/>
  <c r="B39" i="13" s="1"/>
  <c r="C8" i="3"/>
  <c r="B40" i="13" s="1"/>
  <c r="C9" i="3"/>
  <c r="B41" i="13" s="1"/>
  <c r="C10" i="3"/>
  <c r="C11" i="3"/>
  <c r="B43" i="13" s="1"/>
  <c r="C12" i="3"/>
  <c r="B44" i="13" s="1"/>
  <c r="C13" i="3"/>
  <c r="B45" i="13" s="1"/>
  <c r="C14" i="3"/>
  <c r="B46" i="13" s="1"/>
  <c r="C15" i="3"/>
  <c r="B47" i="13" s="1"/>
  <c r="C77" i="11"/>
  <c r="C16" i="3" s="1"/>
  <c r="B48" i="13" s="1"/>
  <c r="I12" i="1"/>
  <c r="A2" i="15"/>
  <c r="A12" i="6"/>
  <c r="A2" i="8"/>
  <c r="C35" i="11"/>
  <c r="C34" i="11"/>
  <c r="C33" i="11"/>
  <c r="C122" i="11"/>
  <c r="C29" i="6" s="1"/>
  <c r="C139" i="11"/>
  <c r="C51" i="6" s="1"/>
  <c r="A51" i="6"/>
  <c r="A29" i="6"/>
  <c r="C54" i="11"/>
  <c r="C29" i="1" s="1"/>
  <c r="A29" i="1"/>
  <c r="A9" i="12"/>
  <c r="I46" i="6"/>
  <c r="C43" i="6"/>
  <c r="C44" i="6"/>
  <c r="A43" i="6"/>
  <c r="A44" i="6"/>
  <c r="A42" i="6"/>
  <c r="C47" i="11"/>
  <c r="C43" i="11"/>
  <c r="C42" i="11"/>
  <c r="C41" i="11"/>
  <c r="C40" i="11"/>
  <c r="C39" i="11"/>
  <c r="C60" i="11"/>
  <c r="C57" i="11"/>
  <c r="C12" i="6"/>
  <c r="A11" i="6"/>
  <c r="C53" i="11"/>
  <c r="C28" i="1" s="1"/>
  <c r="C52" i="11"/>
  <c r="C51" i="11"/>
  <c r="C32" i="1"/>
  <c r="B25" i="13" s="1"/>
  <c r="A55" i="6"/>
  <c r="A56" i="6"/>
  <c r="A57" i="6"/>
  <c r="A58" i="6"/>
  <c r="A54" i="6"/>
  <c r="A26" i="6"/>
  <c r="A27" i="6"/>
  <c r="A28" i="6"/>
  <c r="A30" i="6"/>
  <c r="A31" i="6"/>
  <c r="A32" i="6"/>
  <c r="A25" i="6"/>
  <c r="A24" i="6"/>
  <c r="A20" i="6"/>
  <c r="A21" i="6"/>
  <c r="A19" i="6"/>
  <c r="A15" i="6"/>
  <c r="A16" i="6"/>
  <c r="A14" i="6"/>
  <c r="A8" i="6"/>
  <c r="A9" i="6"/>
  <c r="A7" i="6"/>
  <c r="A6" i="6"/>
  <c r="A25" i="4"/>
  <c r="A22" i="4"/>
  <c r="A23" i="4"/>
  <c r="A24" i="4"/>
  <c r="A14" i="4"/>
  <c r="A15" i="4"/>
  <c r="A16" i="4"/>
  <c r="A17" i="4"/>
  <c r="A18" i="4"/>
  <c r="A19" i="4"/>
  <c r="A20" i="4"/>
  <c r="A21" i="4"/>
  <c r="A13" i="4"/>
  <c r="A12" i="4"/>
  <c r="A7" i="4"/>
  <c r="A6" i="4"/>
  <c r="A14" i="3"/>
  <c r="A15" i="3"/>
  <c r="A16" i="3"/>
  <c r="A9" i="3"/>
  <c r="A10" i="3"/>
  <c r="A11" i="3"/>
  <c r="A12" i="3"/>
  <c r="A13" i="3"/>
  <c r="A7" i="3"/>
  <c r="A6" i="3"/>
  <c r="A38" i="1"/>
  <c r="A35" i="1"/>
  <c r="A27" i="1"/>
  <c r="A28" i="1"/>
  <c r="A26" i="1"/>
  <c r="A14" i="1"/>
  <c r="A15" i="1"/>
  <c r="A16" i="1"/>
  <c r="A17" i="1"/>
  <c r="A18" i="1"/>
  <c r="A13" i="1"/>
  <c r="A7" i="1"/>
  <c r="A8" i="1"/>
  <c r="A6" i="1"/>
  <c r="A29" i="12"/>
  <c r="A28" i="12"/>
  <c r="A19" i="12"/>
  <c r="C57" i="6"/>
  <c r="C6" i="4"/>
  <c r="C82" i="11"/>
  <c r="C7" i="4"/>
  <c r="C56" i="6"/>
  <c r="C55" i="6"/>
  <c r="C6" i="12"/>
  <c r="D6" i="12" s="1"/>
  <c r="C15" i="12"/>
  <c r="D15" i="12" s="1"/>
  <c r="B10" i="13" s="1"/>
  <c r="C18" i="1"/>
  <c r="C33" i="12"/>
  <c r="D33" i="12" s="1"/>
  <c r="B13" i="13" s="1"/>
  <c r="B2" i="7"/>
  <c r="D28" i="12"/>
  <c r="I12" i="3"/>
  <c r="C21" i="6"/>
  <c r="C20" i="6"/>
  <c r="C16" i="6"/>
  <c r="C15" i="6"/>
  <c r="D8" i="6"/>
  <c r="D9" i="6"/>
  <c r="D7" i="6"/>
  <c r="C14" i="4"/>
  <c r="C15" i="4"/>
  <c r="C16" i="4"/>
  <c r="C17" i="4"/>
  <c r="C18" i="4"/>
  <c r="C19" i="4"/>
  <c r="C20" i="4"/>
  <c r="C21" i="4"/>
  <c r="C22" i="4"/>
  <c r="C23" i="4"/>
  <c r="C24" i="4"/>
  <c r="C13" i="4"/>
  <c r="C27" i="1"/>
  <c r="B2" i="13"/>
  <c r="A2" i="13"/>
  <c r="C2" i="7"/>
  <c r="B2" i="6"/>
  <c r="A2" i="6"/>
  <c r="G5" i="6"/>
  <c r="B2" i="4"/>
  <c r="A2" i="4"/>
  <c r="B2" i="3"/>
  <c r="A2" i="3"/>
  <c r="B2" i="1"/>
  <c r="A2" i="1"/>
  <c r="B2" i="12"/>
  <c r="A2" i="12"/>
  <c r="C26" i="1"/>
  <c r="C35" i="1"/>
  <c r="B26" i="13" s="1"/>
  <c r="C15" i="1"/>
  <c r="C14" i="1"/>
  <c r="C13" i="1"/>
  <c r="C124" i="11"/>
  <c r="C31" i="6" s="1"/>
  <c r="C123" i="11"/>
  <c r="C30" i="6" s="1"/>
  <c r="C120" i="11"/>
  <c r="C27" i="6" s="1"/>
  <c r="C119" i="11"/>
  <c r="C26" i="6" s="1"/>
  <c r="C118" i="11"/>
  <c r="C25" i="6" s="1"/>
  <c r="C64" i="11"/>
  <c r="D38" i="1" s="1"/>
  <c r="B27" i="13" s="1"/>
  <c r="C145" i="11"/>
  <c r="C58" i="6"/>
  <c r="C6" i="1"/>
  <c r="D29" i="12"/>
  <c r="C19" i="11"/>
  <c r="D25" i="12"/>
  <c r="B11" i="13" s="1"/>
  <c r="C15" i="11"/>
  <c r="C13" i="11"/>
  <c r="C12" i="11"/>
  <c r="C16" i="11"/>
  <c r="C7" i="11"/>
  <c r="C8" i="11"/>
  <c r="C16" i="1"/>
  <c r="C17" i="1"/>
  <c r="I16" i="3"/>
  <c r="I15" i="3"/>
  <c r="I14" i="3"/>
  <c r="I13" i="3"/>
  <c r="C8" i="1"/>
  <c r="C7" i="1"/>
  <c r="C97" i="11"/>
  <c r="C25" i="4" s="1"/>
  <c r="F3" i="4"/>
  <c r="F4" i="3"/>
  <c r="F4" i="1"/>
  <c r="H12" i="4"/>
  <c r="H9" i="4"/>
  <c r="C48" i="6" l="1"/>
  <c r="C37" i="6"/>
  <c r="C60" i="6"/>
  <c r="C30" i="1"/>
  <c r="B24" i="13" s="1"/>
  <c r="D30" i="12"/>
  <c r="B12" i="13" s="1"/>
  <c r="C26" i="4"/>
  <c r="C8" i="4"/>
  <c r="C17" i="3"/>
  <c r="D21" i="3" s="1"/>
  <c r="C9" i="7" s="1"/>
  <c r="C23" i="1"/>
  <c r="B23" i="13" s="1"/>
  <c r="C9" i="1"/>
  <c r="B22" i="13" s="1"/>
  <c r="C22" i="6"/>
  <c r="B59" i="13" s="1"/>
  <c r="D10" i="6"/>
  <c r="B57" i="13" s="1"/>
  <c r="B61" i="13"/>
  <c r="C17" i="6"/>
  <c r="B58" i="13" s="1"/>
  <c r="B42" i="13"/>
  <c r="B9" i="13"/>
  <c r="D37" i="12" l="1"/>
  <c r="C7" i="7" s="1"/>
  <c r="D31" i="4"/>
  <c r="B28" i="13"/>
  <c r="C25" i="13" s="1"/>
  <c r="D42" i="1"/>
  <c r="C8" i="7" s="1"/>
  <c r="E63" i="6"/>
  <c r="C11" i="7" s="1"/>
  <c r="B60" i="13"/>
  <c r="B49" i="13"/>
  <c r="C42" i="13" s="1"/>
  <c r="B14" i="13"/>
  <c r="C9" i="13" s="1"/>
  <c r="C26" i="13" l="1"/>
  <c r="C24" i="13"/>
  <c r="C22" i="13"/>
  <c r="C23" i="13"/>
  <c r="C27" i="13"/>
  <c r="C10" i="7"/>
  <c r="C12" i="7" s="1"/>
  <c r="B62" i="13"/>
  <c r="B63" i="13" s="1"/>
  <c r="C41" i="13"/>
  <c r="C39" i="13"/>
  <c r="C44" i="13"/>
  <c r="C46" i="13"/>
  <c r="C45" i="13"/>
  <c r="C48" i="13"/>
  <c r="C40" i="13"/>
  <c r="C38" i="13"/>
  <c r="C47" i="13"/>
  <c r="C43" i="13"/>
  <c r="C12" i="13"/>
  <c r="C11" i="13"/>
  <c r="C13" i="13"/>
  <c r="C10" i="13"/>
  <c r="C28" i="13" l="1"/>
  <c r="C60" i="13"/>
  <c r="C57" i="13"/>
  <c r="C61" i="13"/>
  <c r="C59" i="13"/>
  <c r="C58" i="13"/>
  <c r="C62" i="13"/>
  <c r="D9" i="7"/>
  <c r="D7" i="7"/>
  <c r="D8" i="7"/>
  <c r="D11" i="7"/>
  <c r="D10" i="7"/>
  <c r="C49" i="13"/>
  <c r="C14" i="13"/>
  <c r="C63" i="13" l="1"/>
  <c r="D12" i="7"/>
  <c r="C8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Tiina Haaspuro</author>
  </authors>
  <commentList>
    <comment ref="B11" authorId="0" shapeId="0" xr:uid="{00000000-0006-0000-0100-000001000000}">
      <text>
        <r>
          <rPr>
            <sz val="9"/>
            <color indexed="81"/>
            <rFont val="Tahoma"/>
            <family val="2"/>
          </rPr>
          <t>Täytä vain, mikäli sähkösopimuksesi on vaihtunut kesken vuoden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Tiina Haaspuro</author>
  </authors>
  <commentList>
    <comment ref="A13" authorId="0" shapeId="0" xr:uid="{00000000-0006-0000-0200-000001000000}">
      <text>
        <r>
          <rPr>
            <sz val="9"/>
            <color indexed="81"/>
            <rFont val="Tahoma"/>
            <family val="2"/>
          </rPr>
          <t>Tehdyt oletukset: maantieajo 65 % ja katuajo 35 %, keskimääräinen v. 2009 CO2ekv arvo.</t>
        </r>
      </text>
    </comment>
    <comment ref="A14" authorId="0" shapeId="0" xr:uid="{00000000-0006-0000-0200-000002000000}">
      <text>
        <r>
          <rPr>
            <sz val="9"/>
            <color indexed="81"/>
            <rFont val="Tahoma"/>
            <family val="2"/>
          </rPr>
          <t>Tehdyt oletukset: maantieajo 65 % ja katuajo 35 %, keskimääräinen v. 2009 CO2ekv arvo.</t>
        </r>
      </text>
    </comment>
    <comment ref="A26" authorId="0" shapeId="0" xr:uid="{00000000-0006-0000-0200-000003000000}">
      <text>
        <r>
          <rPr>
            <sz val="9"/>
            <color indexed="81"/>
            <rFont val="Tahoma"/>
            <family val="2"/>
          </rPr>
          <t>Tehty oletus: Kaupunkilinja-auto, 18 matkustajaa, keskimääräinen v. 2009 CO2ekv arvo</t>
        </r>
      </text>
    </comment>
    <comment ref="A27" authorId="0" shapeId="0" xr:uid="{00000000-0006-0000-0200-000004000000}">
      <text>
        <r>
          <rPr>
            <sz val="9"/>
            <color indexed="81"/>
            <rFont val="Tahoma"/>
            <family val="2"/>
          </rPr>
          <t xml:space="preserve">Oletus:
 Intercity, sähköjuna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Jaurimaa, Anna</author>
    <author>Tiina Haaspuro</author>
    <author>Haaspuro, Tiina M</author>
  </authors>
  <commentList>
    <comment ref="A25" authorId="0" shapeId="0" xr:uid="{00000000-0006-0000-0500-000001000000}">
      <text>
        <r>
          <rPr>
            <sz val="9"/>
            <color indexed="81"/>
            <rFont val="Tahoma"/>
            <family val="2"/>
          </rPr>
          <t>Oletusannoksena lihamakaronilaatikko + lisäkkeet</t>
        </r>
      </text>
    </comment>
    <comment ref="A26" authorId="0" shapeId="0" xr:uid="{00000000-0006-0000-0500-000002000000}">
      <text>
        <r>
          <rPr>
            <sz val="9"/>
            <color indexed="81"/>
            <rFont val="Tahoma"/>
            <family val="2"/>
          </rPr>
          <t>Oletusannoksena kinkkukiusaus + lisäkkeet</t>
        </r>
      </text>
    </comment>
    <comment ref="A27" authorId="0" shapeId="0" xr:uid="{00000000-0006-0000-0500-000003000000}">
      <text>
        <r>
          <rPr>
            <sz val="9"/>
            <color indexed="81"/>
            <rFont val="Tahoma"/>
            <family val="2"/>
          </rPr>
          <t>Oletusannoksena broilerikastike ja pasta + lisäkkeet</t>
        </r>
      </text>
    </comment>
    <comment ref="A28" authorId="0" shapeId="0" xr:uid="{00000000-0006-0000-0500-000004000000}">
      <text>
        <r>
          <rPr>
            <sz val="9"/>
            <color indexed="81"/>
            <rFont val="Tahoma"/>
            <family val="2"/>
          </rPr>
          <t>Oletusannoksena kirjolohikiusaus + lisäkkeet</t>
        </r>
      </text>
    </comment>
    <comment ref="A29" authorId="1" shapeId="0" xr:uid="{00000000-0006-0000-0500-000005000000}">
      <text>
        <r>
          <rPr>
            <sz val="9"/>
            <color indexed="81"/>
            <rFont val="Tahoma"/>
            <family val="2"/>
          </rPr>
          <t>Oletuksena kasviskiusaus + lisäkkeet</t>
        </r>
      </text>
    </comment>
    <comment ref="A30" authorId="0" shapeId="0" xr:uid="{00000000-0006-0000-0500-000006000000}">
      <text>
        <r>
          <rPr>
            <sz val="9"/>
            <color indexed="81"/>
            <rFont val="Tahoma"/>
            <family val="2"/>
          </rPr>
          <t xml:space="preserve">Oletusannoksena soijapapupihvit ja perunamuusi + lisäkkeet
</t>
        </r>
      </text>
    </comment>
    <comment ref="A31" authorId="0" shapeId="0" xr:uid="{00000000-0006-0000-0500-000007000000}">
      <text>
        <r>
          <rPr>
            <sz val="9"/>
            <color indexed="81"/>
            <rFont val="Tahoma"/>
            <family val="2"/>
          </rPr>
          <t>Esim. pulla</t>
        </r>
      </text>
    </comment>
    <comment ref="A33" authorId="2" shapeId="0" xr:uid="{00000000-0006-0000-0500-000008000000}">
      <text>
        <r>
          <rPr>
            <sz val="9"/>
            <color indexed="81"/>
            <rFont val="Tahoma"/>
            <charset val="1"/>
          </rPr>
          <t xml:space="preserve">
Oletuksena sämpylä 80g, margariini 10g, leikkele 20g, salaatti 10g.</t>
        </r>
      </text>
    </comment>
    <comment ref="A34" authorId="2" shapeId="0" xr:uid="{00000000-0006-0000-0500-000009000000}">
      <text>
        <r>
          <rPr>
            <sz val="9"/>
            <color indexed="81"/>
            <rFont val="Tahoma"/>
            <charset val="1"/>
          </rPr>
          <t xml:space="preserve">
Oletuksena sämpylä 80g, margariini 10g, tomaatti 30g, salaatti 10g.</t>
        </r>
      </text>
    </comment>
    <comment ref="A35" authorId="2" shapeId="0" xr:uid="{00000000-0006-0000-0500-00000A000000}">
      <text>
        <r>
          <rPr>
            <sz val="9"/>
            <color indexed="81"/>
            <rFont val="Tahoma"/>
            <charset val="1"/>
          </rPr>
          <t xml:space="preserve">
Oletuspaino 200g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Tiina Haaspuro</author>
  </authors>
  <commentList>
    <comment ref="B31" authorId="0" shapeId="0" xr:uid="{00000000-0006-0000-0900-000001000000}">
      <text>
        <r>
          <rPr>
            <sz val="9"/>
            <color indexed="81"/>
            <rFont val="Tahoma"/>
            <family val="2"/>
          </rPr>
          <t>Matkustamisen päästöihin on lisätty Syken ohjeistuksen ja ilmastodieetin periaatteiden mukaisesti polttoaineketjun päästöt, n. 20%</t>
        </r>
      </text>
    </comment>
    <comment ref="B39" authorId="0" shapeId="0" xr:uid="{00000000-0006-0000-0900-000002000000}">
      <text>
        <r>
          <rPr>
            <sz val="9"/>
            <color indexed="81"/>
            <rFont val="Tahoma"/>
            <family val="2"/>
          </rPr>
          <t>Tehdyt oletukset: maantieajo 65 % ja katuajo 35 %, keskimääräinen v. 2009 CO2ekv arvo.</t>
        </r>
      </text>
    </comment>
    <comment ref="B40" authorId="0" shapeId="0" xr:uid="{00000000-0006-0000-0900-000003000000}">
      <text>
        <r>
          <rPr>
            <sz val="9"/>
            <color indexed="81"/>
            <rFont val="Tahoma"/>
            <family val="2"/>
          </rPr>
          <t>Tehdyt oletukset: maantieajo 65 % ja katuajo 35 %, keskimääräinen v. 2009 CO2ekv arvo.</t>
        </r>
      </text>
    </comment>
    <comment ref="B51" authorId="0" shapeId="0" xr:uid="{00000000-0006-0000-0900-000004000000}">
      <text>
        <r>
          <rPr>
            <sz val="9"/>
            <color indexed="81"/>
            <rFont val="Tahoma"/>
            <family val="2"/>
          </rPr>
          <t>Tehty oletus: Kaupunkilinja-auto, 18 matkustajaa, keskimääräinen v. 2009 CO2ekv arvo</t>
        </r>
      </text>
    </comment>
    <comment ref="B52" authorId="0" shapeId="0" xr:uid="{00000000-0006-0000-0900-000005000000}">
      <text>
        <r>
          <rPr>
            <sz val="9"/>
            <color indexed="81"/>
            <rFont val="Tahoma"/>
            <family val="2"/>
          </rPr>
          <t xml:space="preserve">Oletus:
 Intercity, sähköjuna </t>
        </r>
      </text>
    </comment>
    <comment ref="B124" authorId="0" shapeId="0" xr:uid="{00000000-0006-0000-0900-000006000000}">
      <text>
        <r>
          <rPr>
            <sz val="9"/>
            <color indexed="81"/>
            <rFont val="Tahoma"/>
            <family val="2"/>
          </rPr>
          <t xml:space="preserve">Oletuksena Fazerin voisilmäpullan paino 78 g. </t>
        </r>
      </text>
    </comment>
    <comment ref="B125" authorId="0" shapeId="0" xr:uid="{00000000-0006-0000-0900-000007000000}">
      <text>
        <r>
          <rPr>
            <sz val="9"/>
            <color indexed="81"/>
            <rFont val="Tahoma"/>
            <family val="2"/>
          </rPr>
          <t>Oletuksena makkaran paino 100g.</t>
        </r>
      </text>
    </comment>
  </commentList>
</comments>
</file>

<file path=xl/sharedStrings.xml><?xml version="1.0" encoding="utf-8"?>
<sst xmlns="http://schemas.openxmlformats.org/spreadsheetml/2006/main" count="760" uniqueCount="488">
  <si>
    <t>HIILIFIKSU JÄRJESTÖ -HIILIJALANJÄLKILASKURI</t>
  </si>
  <si>
    <t>Järjestön nimi</t>
  </si>
  <si>
    <t>Pesäpuu ry</t>
  </si>
  <si>
    <t>Kirjoita tähän järjestön nimi</t>
  </si>
  <si>
    <t>Tervetuloa laskemaan järjestön hiilijalanjälki!</t>
  </si>
  <si>
    <t>Vuosi, jota laskenta koskee</t>
  </si>
  <si>
    <t>Laskurin ideana on havainnollistaa mistä osa-alueista järjestön hiilijalanjälki muodostuu, jotta järjestö voisi pienentää hiilijalanjälkeään.</t>
  </si>
  <si>
    <t>Syötä tähän vuosi, jota laskenta koskee</t>
  </si>
  <si>
    <t xml:space="preserve">Hiilijalanjälki kuvaa toiminnan, tuotteen tai palvelun -tässä tapauksessa järjestön toiminnan- vaikutusta ilmaston lämpenemiseen. Tätä vaikutusta mitataan kasvihuonekaasupäästöillä, joita syntyy toiminnan eri vaiheissa joko suoraan tai välillisesti. Hiilijalanjälki ilmoitetaan hiilidioksidiekvivalentteina, mikä tarkoittaa, että syntyneet kasvihuonekaasupäästöt muutetaan vastaamaan hiilidioksidin ilmastovaikutuksia. </t>
  </si>
  <si>
    <t>Kuinka laskuria käytetään?</t>
  </si>
  <si>
    <r>
      <t xml:space="preserve">Täyttäkää pyydetyt tiedot laskurin välilehdille niin tarkasti kuin mahdollista. Suositeltavaa on käyttää kuluvaa vuotta edeltävän vuoden tietoja. Hiilijalanjälki lasketaan aina yhden vuoden ajalta, jotta vältetään vuodenaikojen vaihtelusta ja kausittaisesta toiminnasta syntyvät vääristymät tuloksissa. Kaikkiin pyydettyihin kohtiin voi olla haastavaa saada tarvittavat tiedot. Suositeltavaa olisi pyrkiä täyttämään </t>
    </r>
    <r>
      <rPr>
        <i/>
        <sz val="12"/>
        <color theme="1"/>
        <rFont val="Calibri"/>
        <family val="2"/>
        <scheme val="minor"/>
      </rPr>
      <t>vähintään</t>
    </r>
    <r>
      <rPr>
        <sz val="12"/>
        <color theme="1"/>
        <rFont val="Calibri"/>
        <family val="2"/>
        <scheme val="minor"/>
      </rPr>
      <t xml:space="preserve"> Energia-välilehdellä sähkön ja lämmönkulutusta koskevat tiedot, sekä Matkustaminen -välilehdellä mahdollisten järjestön omassa omistuksessa olevien autojen kilometritiedot. Täytettyänne laskuriin kaikki saatavilla olevat tiedot, saatte Hiilijalanjälki-välilehdelle järjestönne hiilijalanjäljen ja näette mistä hiilijalanjälki muodostuu. Hiilijalanjäljen eri osa-alueiden tuloksiin, laskennan perusteisiin ja kertoimiin lähteineen voi tutustua viimeisillä välilehdillä. Tarkempi kuvaus laskennan perusteista löytyy laskurin taustadokumentista Hiilifiksu järjestö –hiilijalanjälkilaskuri, Laskennan perusteet.</t>
    </r>
  </si>
  <si>
    <t xml:space="preserve">Osa laskurin soluista on lukittu, jotta vältetään tietojen muuttaminen vahingossa. </t>
  </si>
  <si>
    <t xml:space="preserve">Laskuri on tehty osana Helsingin yliopiston Metsätieteiden osaston toteuttamaa ja Sitran rahoittamaa Hiilifiksu järjestö -hanketta. Lisätietoa hankkeesta: </t>
  </si>
  <si>
    <t>https://blogs.helsinki.fi/hiilifiksu/</t>
  </si>
  <si>
    <t xml:space="preserve">Kyseessä on Suomen ensimmäinen järjestöille räätälöity hiilijalanjälkilaskuri. Laskuri hyödyntää aikaisempien hiilijalanjälkilaskurien, kuten WWF Suomen Ilmastolaskurin sekä SYKE:n Ilmastodieetin ja Y-hiilarin, oppeja. </t>
  </si>
  <si>
    <t>Otamme erittäin mielellämme vastaan palautetta ja kehittämisehdotuksia laskuriin liittyen!</t>
  </si>
  <si>
    <t>Energia</t>
  </si>
  <si>
    <t>Syötä vuosikulutustiedot vihreisiin soluihin ja käytä harmaiden solujen pudotusvalikkoja.</t>
  </si>
  <si>
    <t>Lähde</t>
  </si>
  <si>
    <t>Ohjeet laskentaan</t>
  </si>
  <si>
    <t>Ostosähkö</t>
  </si>
  <si>
    <t>Kulutus kWh</t>
  </si>
  <si>
    <r>
      <t>Yht. CO</t>
    </r>
    <r>
      <rPr>
        <vertAlign val="subscript"/>
        <sz val="11"/>
        <rFont val="Calibri"/>
        <family val="2"/>
        <scheme val="minor"/>
      </rPr>
      <t>2</t>
    </r>
    <r>
      <rPr>
        <sz val="11"/>
        <rFont val="Calibri"/>
        <family val="2"/>
        <scheme val="minor"/>
      </rPr>
      <t>ekv (g)</t>
    </r>
  </si>
  <si>
    <r>
      <t>CO</t>
    </r>
    <r>
      <rPr>
        <b/>
        <vertAlign val="subscript"/>
        <sz val="11"/>
        <rFont val="Calibri"/>
        <family val="2"/>
        <scheme val="minor"/>
      </rPr>
      <t>2</t>
    </r>
    <r>
      <rPr>
        <b/>
        <sz val="11"/>
        <rFont val="Calibri"/>
        <family val="2"/>
        <scheme val="minor"/>
      </rPr>
      <t>ekv (kg)</t>
    </r>
  </si>
  <si>
    <t>Tämän välilehden energiankulutustiedot koskevat omien toimitilojen ja oman toiminnan kulutusta, ostettujen palveluiden (esim. vuokrattu tila) päästöt lasketaan Palvelut-välilehdellä.</t>
  </si>
  <si>
    <t>Vuosikulutus</t>
  </si>
  <si>
    <t xml:space="preserve">Huom, jos valitsit vihreän sähkön, tulos on 0, koska uusiutuva energia lasketaan päästöttömäksi. </t>
  </si>
  <si>
    <t>Sähkön tyyppi (klikkaa solua B7)</t>
  </si>
  <si>
    <t>Tavanomainen sähkö</t>
  </si>
  <si>
    <t>Muussa tapauksessa tulossolussa näkyy suurempi luku.</t>
  </si>
  <si>
    <t>Syötä sähkön kulutustiedot aina soluun B6, riippumatta siitä, minkä vaihtoehdon valitset solun B7 vetovalikosta!</t>
  </si>
  <si>
    <t>CO2ekv (g/kWh)</t>
  </si>
  <si>
    <t>Voit halutessasi täyttää tiedon soluun B9, jos tiedät käyttämänne sähkön päästökertoimen. Esimerkiksi Helenin perussähkön päästökerroin on 264 g/kWh.</t>
  </si>
  <si>
    <t>Valitse siinä tapauksessa solun B7 valikosta kohta 'Tuotekohtainen päästökerroin'. Kaikki sähkönmyyjät eivät ilmoita sähkötuotekohtaisia kertoimia, jolloin voit käyttää myyjän yleistä päästökerrointa (mikäli ilmoitettu).</t>
  </si>
  <si>
    <t>Vihreän sähkön osuus %</t>
  </si>
  <si>
    <t>Mikäli sähkösopimuksesi on vaihtunut kesken vuotta, voit laskea paljonko vuoden aikana on käytetty tavanomaista ja paljonko vihreää sähköä.</t>
  </si>
  <si>
    <r>
      <t xml:space="preserve">Syötä siinä tapauksessa soluun B11 </t>
    </r>
    <r>
      <rPr>
        <b/>
        <sz val="11"/>
        <color theme="1"/>
        <rFont val="Calibri"/>
        <family val="2"/>
        <scheme val="minor"/>
      </rPr>
      <t xml:space="preserve">uusiutuvan </t>
    </r>
    <r>
      <rPr>
        <sz val="11"/>
        <color theme="1"/>
        <rFont val="Calibri"/>
        <family val="2"/>
        <scheme val="minor"/>
      </rPr>
      <t>sähkön osuus (%) kulutetusta sähköstä (esim. 50)</t>
    </r>
    <r>
      <rPr>
        <b/>
        <sz val="11"/>
        <color theme="1"/>
        <rFont val="Calibri"/>
        <family val="2"/>
        <scheme val="minor"/>
      </rPr>
      <t xml:space="preserve"> ja </t>
    </r>
    <r>
      <rPr>
        <sz val="11"/>
        <color theme="1"/>
        <rFont val="Calibri"/>
        <family val="2"/>
        <scheme val="minor"/>
      </rPr>
      <t>valitse solun B7 valikosta kohta 'Osa vihreää sähköä'.</t>
    </r>
  </si>
  <si>
    <t>Kaukolämpö</t>
  </si>
  <si>
    <t>Syötä kaukolämmön vuosikulutustiedot aina soluun B15, riippumatta siitä, minkä vaihtoehdon valitset solun B16 valikosta!</t>
  </si>
  <si>
    <t xml:space="preserve">Voit laskea lämmönkulutuksen taloyhtiön toimintakertomuksesta saatavien tietojen avulla seuraavasti: </t>
  </si>
  <si>
    <t>Kaukolämmön tyyppi (Valitse B16)</t>
  </si>
  <si>
    <t>Yhteistuotanto</t>
  </si>
  <si>
    <t xml:space="preserve">Lämmönkulutus=(järjestön toimitilojen pinta-ala/taloyhtiön yhteispinta-ala)*taloyhtiön lämmönkulutus kWh. Jos lämmönkulutuksen yksikkö on MWh, niin kerro arvo tuhannella. </t>
  </si>
  <si>
    <t xml:space="preserve">Paikkakunnat, joissa kaukolämpöä tuotetaan sähkön ja lämmön yhteistuotantona löytyvät Motivan sivuille linkitetystä tiedostoista (linkki alla). Esimerkiksi pääkaupunkiseudun kunnat kuuluvat näihin. </t>
  </si>
  <si>
    <t>Erillistuotannon päästökerroin</t>
  </si>
  <si>
    <t xml:space="preserve">Katso täältä tuotetaanko paikkakuntasi kaukolämpö yhteistuotantona: </t>
  </si>
  <si>
    <t>https://Yhteistuotantopaikkakunnat</t>
  </si>
  <si>
    <t>Jos kuntasi löytyy tältä listalta, valitse solun B16 valikosta kohta Yhteistuotanto</t>
  </si>
  <si>
    <t>Uusiutuvan kaukolämmön osuus (%)</t>
  </si>
  <si>
    <r>
      <t>Jos kuntasi</t>
    </r>
    <r>
      <rPr>
        <b/>
        <sz val="11"/>
        <color theme="1"/>
        <rFont val="Calibri"/>
        <family val="2"/>
        <scheme val="minor"/>
      </rPr>
      <t xml:space="preserve"> EI</t>
    </r>
    <r>
      <rPr>
        <sz val="11"/>
        <color theme="1"/>
        <rFont val="Calibri"/>
        <family val="2"/>
        <scheme val="minor"/>
      </rPr>
      <t xml:space="preserve"> löydy tältä listalta, valitse solun B16 valikosta kohta Erillistuotanto ja kirjoita soluun B18 erillistuotannon päästökerroin.</t>
    </r>
  </si>
  <si>
    <t xml:space="preserve">Erillistuotannon piirissä olevat kunnat on jaoteltu eri ryhmiin, joille on määritelty päästökerroin. </t>
  </si>
  <si>
    <t xml:space="preserve">Alla olevasta linkistä pääset tarkistamaan mihin ryhmään kuntasi kuuluu ja mikä on sen ryhmän päästökerroin. </t>
  </si>
  <si>
    <t>Kaukojäähdytys</t>
  </si>
  <si>
    <t>Erillistuotannon paikkakunnat ja kertoimet</t>
  </si>
  <si>
    <t>Syötä erillistuotannon päästökerroin soluun B18.</t>
  </si>
  <si>
    <t>Jos lämmön myyjä on ilmoittanut oman päästökertoimen (löytyy yleensä yhtiön verkkosivuilta), voit halutessasi käyttää sitä.</t>
  </si>
  <si>
    <t>Sähkölämmitys ja -jäähdytys</t>
  </si>
  <si>
    <t>Syötä lämmön myyjän kerroin soluun B19 ja valitse solun B16 valikosta kohta 'Myyjän päästökerroin'.</t>
  </si>
  <si>
    <r>
      <t xml:space="preserve">Mikäli kaukolämmöstä vain osa on uusiutuvilla tuotettua, voit syöttää </t>
    </r>
    <r>
      <rPr>
        <b/>
        <sz val="11"/>
        <color theme="1"/>
        <rFont val="Calibri"/>
        <family val="2"/>
        <scheme val="minor"/>
      </rPr>
      <t>uusiutuvien osuuden (%)</t>
    </r>
    <r>
      <rPr>
        <sz val="11"/>
        <color theme="1"/>
        <rFont val="Calibri"/>
        <family val="2"/>
        <scheme val="minor"/>
      </rPr>
      <t xml:space="preserve"> soluun B21 (esim 50).</t>
    </r>
  </si>
  <si>
    <t>Valitse siinä tapauksessa solun B16 valikosta kohta 'Osa uusiutuvaa'.</t>
  </si>
  <si>
    <t>Yhteensä:</t>
  </si>
  <si>
    <t>HUOM! Jos käytät myyjän ilmoittamaa päästökerrointa, varmista aina, että se on oikeassa muodossa: CO2ekv (g/kWh)</t>
  </si>
  <si>
    <t xml:space="preserve"> Palvelimet</t>
  </si>
  <si>
    <t>Toimiston ulkoiset palvelimet</t>
  </si>
  <si>
    <t>Syötä tähän (solu B33) tiedot ulkoisten serverien sähkönkulutuksesta (kWh).</t>
  </si>
  <si>
    <t>Sähkön tyyppi (Valitse solusta B34)</t>
  </si>
  <si>
    <t>Valitse tästä</t>
  </si>
  <si>
    <t>Valitse sähkön tyyppi solun B34 pudotusvalikosta. Jos et tiedä käyttävätkö palvelimet vihreää sähköä, valitse tavanomainen sähkö.</t>
  </si>
  <si>
    <t xml:space="preserve">YHTEENSÄ </t>
  </si>
  <si>
    <t>Energiankulutuksesta aiheutuneet kasvihuonekaasupäästöt yhteensä:</t>
  </si>
  <si>
    <t>kg CO2-ekv</t>
  </si>
  <si>
    <t>Lähteet:</t>
  </si>
  <si>
    <t>(1) Salo ym.2017. https://beta.ilmastodieetti.fi/pdf/Ilmastodieetti_dokumentaatio_2017-10-13.pdf</t>
  </si>
  <si>
    <t>(2) Motiva 2018. https://www.motiva.fi/ratkaisut/energiankaytto_suomessa/co2-laskentaohje_energiankulutuksen_hiilidioksidipaastojen_laskentaan/co2-paastokertoimet</t>
  </si>
  <si>
    <t>(3) https://www.helen.fi/yritys/energia/energiantuotanto/sahkon-ja-lammon-ominaispaastot/</t>
  </si>
  <si>
    <t>(4) Heljo J. &amp; Laine H. 2005. https://docplayer.fi/809786-Sahkolammitys-ja-lampopumput-sahkonkayttajina-ja-paastojen-aiheuttajina-suomessa.html</t>
  </si>
  <si>
    <t>Matkustaminen</t>
  </si>
  <si>
    <t>Syötä laskentavuoden matkakilometrit ja hotelliyöpymisvuorokaudet vihreisiin soluihin.</t>
  </si>
  <si>
    <t>Lennot</t>
  </si>
  <si>
    <t xml:space="preserve">Lento km yht. </t>
  </si>
  <si>
    <t xml:space="preserve">Syötä tälle sivulle koko laskentavuoden aikaiset matkustustiedot. </t>
  </si>
  <si>
    <t xml:space="preserve">Lentomatkojen pituuden voi arvioida jonkin lentolaskurin avulla, esim.: </t>
  </si>
  <si>
    <t>the ICAO Carbon Emissions Calculator.</t>
  </si>
  <si>
    <t>Helsinki-Oulu-Helsinki 1030 km, HKI-Tukholma-HKI 796 km, HKI-Rooma-HKI 4464 km, HKI-Brysseli-HKI 3290 km</t>
  </si>
  <si>
    <t xml:space="preserve">Jos haluat laskea Euroopan ulkopuolella tehtyjä ns. sisäisiä lentoja (esim. kaupungista tai maasta toiseen yhden maanosan sisällä), </t>
  </si>
  <si>
    <r>
      <t>kg CO</t>
    </r>
    <r>
      <rPr>
        <b/>
        <vertAlign val="subscript"/>
        <sz val="11"/>
        <color indexed="8"/>
        <rFont val="Calibri"/>
        <family val="2"/>
        <scheme val="minor"/>
      </rPr>
      <t>2</t>
    </r>
    <r>
      <rPr>
        <b/>
        <sz val="11"/>
        <color indexed="8"/>
        <rFont val="Calibri"/>
        <family val="2"/>
        <scheme val="minor"/>
      </rPr>
      <t>ekv</t>
    </r>
  </si>
  <si>
    <t>käytä lyhyiden matkojen kerrointa. Jos et tiedä onko kyseessä kaukolento vai muu lento, käytä oletuksena Euroopan pitkää lentoa. (Paitsi jos on tiedossa, että järjestössänne tehdään enimmäkseen kaukolentoja.</t>
  </si>
  <si>
    <t>Huom. huomioi jokaisen matkustaneen lentokilometrit!</t>
  </si>
  <si>
    <t>Tarvittaessa voit muuntaa maileja kilometreiksi tässä:</t>
  </si>
  <si>
    <t>Mailia</t>
  </si>
  <si>
    <t>km</t>
  </si>
  <si>
    <t>Henkilöautoliikenne</t>
  </si>
  <si>
    <t>Ajetut km yht.</t>
  </si>
  <si>
    <t>Tähän syötetään auton kulkemat kilometrit, ei siis henkilökilometrejä (rivit 13 -18)</t>
  </si>
  <si>
    <t>Tämä kohta koskee vuoden aikaisia työajoja, kodin ja työpaikan välisiä ajoja ei huomioida, koska niiden arviointi on hankalaa, eivätkä kuulu järjestön hiilijalanjälkeen.</t>
  </si>
  <si>
    <t>Jos kodin ja työn välisiä matkoja kuitenkin halutaan laskea, sen voi tehdä esim. täällä:</t>
  </si>
  <si>
    <t>Ilmastolaskuri - työn ja kodin väliset matkat</t>
  </si>
  <si>
    <t xml:space="preserve">Jos taksilla ajettujen kilometrien arvioiminen on liian haastavaa, voit käyttää taksimatkoihin käytettyä rahamäärää apuna: </t>
  </si>
  <si>
    <t>keskimäärin Suomessa taksikilometri maksaa 1.81 euroa (3). Jaa siis takseihin käytetyt eurot 1.81</t>
  </si>
  <si>
    <t>Sähkön tyyppi (sähköauto)</t>
  </si>
  <si>
    <t>Jos käytössä on sähköauto, merkitse sillä ajetut kilometrit soluun B19 ja valitse sähkön tyyppi vetovalikosta solusta B20.</t>
  </si>
  <si>
    <t>Jos et tiedä käytetyn sähkön tyyppiä, käytä oletuksena tavanomaista sähköä.</t>
  </si>
  <si>
    <t>Vihreän sähkön osuus, %</t>
  </si>
  <si>
    <t xml:space="preserve">Jos sähköautossa käytetään osittain vihreää ja osittain tavanomaista sähköä, voit huomioida sen laskennassa </t>
  </si>
  <si>
    <t>syöttämällä soluun B22 vihreän sähkön osuuden prosentteina (esim 50) ja valitsemalla solun B20 valikosta kohdan 'Osa vihreää sähköä'.</t>
  </si>
  <si>
    <t>Kun matkustamisen päästöjä lasketaan, kannattaa muistaa, että julkinen liikenne on yleensä aina ilmastoystävällisempi vaihtoehto kuin yksityisautoilu</t>
  </si>
  <si>
    <t>Joukkoliikenne</t>
  </si>
  <si>
    <t>Hkm</t>
  </si>
  <si>
    <t>ja sitä energiatehokkaampaa, mitä suurempi on matkustajamäärä. Yksityisautoilu lisää aina suoraan päästöjä.</t>
  </si>
  <si>
    <t>Joukkoliikenteen päästöt lasketaan yksityisautoilusta poiketen henkilökilometreinä.</t>
  </si>
  <si>
    <t>Syötä siis kilometrit kohtaan kaikkien matkustajien yhteensä kulkemat kilometrit. Esim. 100 km matka ja 4 matkustajaa = 400 hkm.</t>
  </si>
  <si>
    <t>Sama koskee laivaliikennettä.</t>
  </si>
  <si>
    <t>Helsingin paikallisliikenteen laskennassa on huomioitu myös raideliikenne, joka lasketaan päästöttömäksi. Muualla paikallisliikenne hoituu yleensä busseilla.</t>
  </si>
  <si>
    <t>Vuokrabussi</t>
  </si>
  <si>
    <t>Jos järjestönne on vuokrannut bussin omaan käyttöön, syötä tähän kohtaan sillä ajetut kilometrit. Henkilömäärällä ei ole tässä väliä, vaan lasketaan bussin kulkemat kilometrit.</t>
  </si>
  <si>
    <t>Laivaliikenne</t>
  </si>
  <si>
    <t>Seilatut km yht.</t>
  </si>
  <si>
    <t xml:space="preserve">Matkojen pituuksia: Helsinki-Tallinna 90 km/suunta, Helsinki-Tukholma 450 km/suunta, </t>
  </si>
  <si>
    <t>Helsinki-Maarianhamina-Tukholma 520 km/suunta, Turku-Tukholma 265 km/suunta.</t>
  </si>
  <si>
    <t>Huom. Huomioi tässä jokaisen matkustaneen matkakilometrit.</t>
  </si>
  <si>
    <t>Yöpymisiä yht. (vrk)</t>
  </si>
  <si>
    <t>€/vrk</t>
  </si>
  <si>
    <t>Tarvittaessa voit vaihtaa hotelliyöpymisten keskimääräisen hinnan (solu C38). Hinta vaikuttaa päästötasoon.</t>
  </si>
  <si>
    <t>Liikematkustamisesta aiheutuneet kasvihuonekaasupäästöt yhteensä:</t>
  </si>
  <si>
    <t>(1) VTT 2008. LIPASTO Ilmaliikenne: henkilöliikenne. http://lipasto.vtt.fi/yksikkopaastot/henkiloliikenne/ilmaliikenne/henkilo_ilma.htm</t>
  </si>
  <si>
    <t>(2) VTT 2017. LIPASTO Tieliikenne: henkilöliikenne. http://lipasto.vtt.fi/yksikkopaastot/henkiloliikenne/tieliikenne/henkilo_tie.htm</t>
  </si>
  <si>
    <t>(3) WWF ilmastolaskuri. https://www.hel.fi/static/liitteet/kaupunkiymparisto/julkaisut/julkaisut/julkaisu-18-17.pdf</t>
  </si>
  <si>
    <t>(4) VTT 2017. LIPASTO Vesiliikenne: henkilöliikenne. http://lipasto.vtt.fi/yksikkopaastot/henkiloliikenne/vesiliikenne/henkilo_vesi.htm</t>
  </si>
  <si>
    <t>(5) Seppälä et al. 2009. https://www.motiva.fi/files/4771/Suomen_kansantalouden_materiaalivirtojen_ymparistovaikutusten_arviointi_ENVIMAT-mallilla.pdf</t>
  </si>
  <si>
    <t>Jäte</t>
  </si>
  <si>
    <t>Syötä vuoden aikana syntyneiden eri jätelajien määrä vihreisiin soluihin.</t>
  </si>
  <si>
    <t>Jätelajit</t>
  </si>
  <si>
    <t>Jätteiden määrä (kg)</t>
  </si>
  <si>
    <t>Syötä tälle välilehdelle koko laskentavuoden aikana syntyneiden jätteiden määrät.</t>
  </si>
  <si>
    <t>Energiajäte</t>
  </si>
  <si>
    <t xml:space="preserve">Jätemäärät syötetään laskuriin kiloina. </t>
  </si>
  <si>
    <t xml:space="preserve">Alla olevissa soluissa voit muuntaa jätemäärät astiakoon perusteella kiloiksi. </t>
  </si>
  <si>
    <t xml:space="preserve">Astian koko -sarakkeessa on pudotusvalikot, joista voit valita sopivan astiakoon. </t>
  </si>
  <si>
    <t>Jätejae</t>
  </si>
  <si>
    <t>Astian koko</t>
  </si>
  <si>
    <t>Jätemäärä kg</t>
  </si>
  <si>
    <t>Sekajäte</t>
  </si>
  <si>
    <t>200-290 litraa</t>
  </si>
  <si>
    <t>Paperi</t>
  </si>
  <si>
    <t>660 litraa</t>
  </si>
  <si>
    <t>Biojäte</t>
  </si>
  <si>
    <t>140 litraa</t>
  </si>
  <si>
    <t>Lasi</t>
  </si>
  <si>
    <t>Yhteensä</t>
  </si>
  <si>
    <t>Jos olet epävarma astian koosta ja kaipaat malliesimerkkiä, ks. kuva tämän välilehden lopussa, lähteiden ja sen alla olevan taulukon jälkeen.</t>
  </si>
  <si>
    <r>
      <t>Muun jätteen päästökerroin, CO</t>
    </r>
    <r>
      <rPr>
        <vertAlign val="subscript"/>
        <sz val="11"/>
        <color theme="1"/>
        <rFont val="Calibri"/>
        <family val="2"/>
        <scheme val="minor"/>
      </rPr>
      <t>2</t>
    </r>
    <r>
      <rPr>
        <sz val="11"/>
        <color theme="1"/>
        <rFont val="Calibri"/>
        <family val="2"/>
        <scheme val="minor"/>
      </rPr>
      <t>ekv (g/kg)</t>
    </r>
  </si>
  <si>
    <t xml:space="preserve">Lisää jätteiden painomuuntokertoimia löydät alla olevasta linkistä:  </t>
  </si>
  <si>
    <t>Jätteistä aiheutuneet kasvihuonekaasupäästöt yhteensä</t>
  </si>
  <si>
    <t>Jätevertailu (ks. taulukko)</t>
  </si>
  <si>
    <t xml:space="preserve">Jos haluat laskea jonkin muun jätejakeen päästöjä ja tiedät sille päästökertoimen, </t>
  </si>
  <si>
    <t>voit syöttää ko. jätteen määrän (kg) soluun B16 ja päästökertoimen soluun B19.</t>
  </si>
  <si>
    <r>
      <t>Varmista, että päästökerroin on oikeassa muodossa: CO</t>
    </r>
    <r>
      <rPr>
        <vertAlign val="subscript"/>
        <sz val="11"/>
        <color theme="1"/>
        <rFont val="Calibri"/>
        <family val="2"/>
        <scheme val="minor"/>
      </rPr>
      <t>2</t>
    </r>
    <r>
      <rPr>
        <sz val="11"/>
        <color theme="1"/>
        <rFont val="Calibri"/>
        <family val="2"/>
        <scheme val="minor"/>
      </rPr>
      <t>ekv (g/kg).</t>
    </r>
  </si>
  <si>
    <t>(1) SYKE 2011. https://www.hsy.fi/julia2030/Documents/julia2030/Documents/J%C3%A4tteiden%20khk-kertoimien%20taustadokumentti%202011.pdf</t>
  </si>
  <si>
    <t>(2) HSY:n Henna Teerihalmeen konsultointi</t>
  </si>
  <si>
    <t>(3) WWF:n ilmastolaskuri (HSY:n Nea Metsärannan konsultointi)</t>
  </si>
  <si>
    <t>Paino kg</t>
  </si>
  <si>
    <t>600-690 litraa</t>
  </si>
  <si>
    <t>2 m3 etu- tai pikakontti</t>
  </si>
  <si>
    <t>240 litraa</t>
  </si>
  <si>
    <t>140-240 litraa</t>
  </si>
  <si>
    <t>600 litraa</t>
  </si>
  <si>
    <t>800 litraa</t>
  </si>
  <si>
    <t>Hankinnat</t>
  </si>
  <si>
    <t>Syötä laskentavuoden aikaisten hankintojen määrät vihreisiin soluihin.</t>
  </si>
  <si>
    <t>Tälle sivulle syötetään koko laskentavuoden aikaiset hankinnat.</t>
  </si>
  <si>
    <t>Paperin määrä (kg)</t>
  </si>
  <si>
    <t>Hankintoihin kuuluvat kaikki järjestön käyttöön hankitut tuotteet. Esim. omia puhelimia tai tietokoneita, joilla hoidetaan järjestön asioita, ei oteta huomioon.</t>
  </si>
  <si>
    <t>Alla olevissa soluissa voit muuntaa käytetyt paperimäärät kiloiksi. Syötä vihreään soluun riisien (G9) tai arkkien (G12) määrä.</t>
  </si>
  <si>
    <t>Toimistopaperilaskuri - riisit kiloiksi</t>
  </si>
  <si>
    <t>(Oletus: 500 arkin riisi = 2.5 kg)</t>
  </si>
  <si>
    <t>riisejä (kpl)</t>
  </si>
  <si>
    <t>kg</t>
  </si>
  <si>
    <t>Laskuri - arkit kiloiksi</t>
  </si>
  <si>
    <t>arkkeja (kpl)</t>
  </si>
  <si>
    <t>Määrä (kappale)</t>
  </si>
  <si>
    <t>Kun hankintoja tehdään, kannattaa huomioida, että ilmasto- ja ympäristöystävällisempiä vaihtoehtoja on saatavilla ja niitä voi vaatia.</t>
  </si>
  <si>
    <t>Hankintoihin voidaan asettaa hankintakriteeriksi ilmastoystävällisyys, alhainen energiankulutus ja/tai  luotettava ympäristömerkki.</t>
  </si>
  <si>
    <r>
      <t xml:space="preserve">Jos haluat laskea muiden hankintojen päästöjä, voit syöttää itse tähän ko. tuotteen ja sen päästökertoimen </t>
    </r>
    <r>
      <rPr>
        <b/>
        <sz val="11"/>
        <color theme="1"/>
        <rFont val="Calibri"/>
        <family val="2"/>
        <scheme val="minor"/>
      </rPr>
      <t>(solu B28)</t>
    </r>
    <r>
      <rPr>
        <sz val="11"/>
        <color theme="1"/>
        <rFont val="Calibri"/>
        <family val="2"/>
        <scheme val="minor"/>
      </rPr>
      <t>.</t>
    </r>
  </si>
  <si>
    <t xml:space="preserve">Kalusteiden ja laitteiden päästökertoimia löytyy WWF:n ilmastolaskurin laskentaperustetaulukosta: </t>
  </si>
  <si>
    <t>WWF ilmastolaskurin laskentaperusteet</t>
  </si>
  <si>
    <t>Muiden hankintojen päästökerroin</t>
  </si>
  <si>
    <t>Hankinnoista aiheutuneet kasvihuonekaasupäästöt yhteensä</t>
  </si>
  <si>
    <t>(1) Pihkola ym. 2010. https://www.vtt.fi/inf/pdf/tiedotteet/2010/T2560.pdf.</t>
  </si>
  <si>
    <t>(2) WWF 2017. http://www.ilmastolaskuri.fi/fi/calculation-basis?country=2&amp;year=10746.</t>
  </si>
  <si>
    <t>Palvelut ja tapahtumat</t>
  </si>
  <si>
    <t>Syötä vuoden aikana käytettyjen palveluiden tiedot vihreisiin soluihin.</t>
  </si>
  <si>
    <t>Käytetyt palvelut</t>
  </si>
  <si>
    <r>
      <t>Tilan koko (m</t>
    </r>
    <r>
      <rPr>
        <b/>
        <vertAlign val="superscript"/>
        <sz val="11"/>
        <rFont val="Calibri"/>
        <family val="2"/>
        <scheme val="minor"/>
      </rPr>
      <t>2</t>
    </r>
    <r>
      <rPr>
        <b/>
        <sz val="11"/>
        <rFont val="Calibri"/>
        <family val="2"/>
        <scheme val="minor"/>
      </rPr>
      <t>)</t>
    </r>
  </si>
  <si>
    <t>Käyttötunnit</t>
  </si>
  <si>
    <t>Tapahtumatilan käyttö-kohdassa voit laskea järjestön käyttöön vuokrattujen tilojen käytönaikaiset kasvihuonekaasupäästöt</t>
  </si>
  <si>
    <t>(esim. liikuntatilojen vuokraus tai kokouskäyttöön vuokratut tilat).</t>
  </si>
  <si>
    <r>
      <t>Syötä sarakkeen B soluihin (B7-B9) käytetyn tilan koko (m</t>
    </r>
    <r>
      <rPr>
        <vertAlign val="superscript"/>
        <sz val="11"/>
        <color theme="1"/>
        <rFont val="Calibri"/>
        <family val="2"/>
        <scheme val="minor"/>
      </rPr>
      <t>2</t>
    </r>
    <r>
      <rPr>
        <sz val="11"/>
        <color theme="1"/>
        <rFont val="Calibri"/>
        <family val="2"/>
        <scheme val="minor"/>
      </rPr>
      <t>) ja sarakkeen C soluihin (C7-C9) vuoden aikaiset käyttötunnit.</t>
    </r>
  </si>
  <si>
    <t>Mikäli on käytetty useampia samankaltaisia tiloja, voit syöttää tilan koko kohtaan ko. tilojen keskimääräisen koon (keskiarvo tilojen koosta) ja kumulatiiviset käyttötunnit (eli kaikki käyttötunnit yhteenlaskettuna).</t>
  </si>
  <si>
    <t>Euroa</t>
  </si>
  <si>
    <r>
      <t xml:space="preserve">Huom. Täytä tämä kohta vain, jos </t>
    </r>
    <r>
      <rPr>
        <b/>
        <sz val="11"/>
        <color theme="1"/>
        <rFont val="Calibri"/>
        <family val="2"/>
        <scheme val="minor"/>
      </rPr>
      <t xml:space="preserve">et </t>
    </r>
    <r>
      <rPr>
        <sz val="11"/>
        <color theme="1"/>
        <rFont val="Calibri"/>
        <family val="2"/>
        <scheme val="minor"/>
      </rPr>
      <t>käytä rivien 7-9 laskentaa.</t>
    </r>
  </si>
  <si>
    <t>Mikäli et saa mistään selville käytetyn tilan kokoa ja koette erittäin oleelliseksi saada tapahtumatilat heti ensimmäisestä laskentavuodesta alkaen mukaan laskentaan, voit laskea tapahtumatilan käytön päästöjä tilavuokraan käytetyn euromäärän perusteella.</t>
  </si>
  <si>
    <t>Kappaletta</t>
  </si>
  <si>
    <t>Tässä tapauksessa päästöarvio on huomattavasti epätarkempi.</t>
  </si>
  <si>
    <t>Syötä siivouspalvelut- ja netti- ja puhelinpalvelut -kohtaan niihin  vuoden aikana käytetty euromäärä.</t>
  </si>
  <si>
    <t>Annoksia, kpl</t>
  </si>
  <si>
    <r>
      <t>kg CO</t>
    </r>
    <r>
      <rPr>
        <b/>
        <vertAlign val="subscript"/>
        <sz val="11"/>
        <color indexed="8"/>
        <rFont val="Calibri"/>
        <family val="2"/>
        <scheme val="minor"/>
      </rPr>
      <t>2</t>
    </r>
    <r>
      <rPr>
        <b/>
        <sz val="11"/>
        <color indexed="8"/>
        <rFont val="Calibri"/>
        <family val="2"/>
        <scheme val="minor"/>
      </rPr>
      <t>ekv (kg)</t>
    </r>
  </si>
  <si>
    <t>Ruokatarjoilut kohdassa voit laskea kokoustarjoilut ja muiden kulutettujen ruokien ilmastokuormituksen.</t>
  </si>
  <si>
    <t xml:space="preserve">Syötä ruoka-annokset annosmäärinä ja muut ruokatuotteet kappaleina. </t>
  </si>
  <si>
    <t>Kinkkusämpylä</t>
  </si>
  <si>
    <t>Sämpylä kasviksilla</t>
  </si>
  <si>
    <t>Hedelmä</t>
  </si>
  <si>
    <t>Jos syötät muiden ruokatuotteiden tietoja, voit katsoa niille päästökertoimen esim. täältä:</t>
  </si>
  <si>
    <t>ConsEnv-hankkeen loppuraportti</t>
  </si>
  <si>
    <t>Ks. Taulukko, Liite 1, alkaen sivulta 68.</t>
  </si>
  <si>
    <t>Tapahtuman hiilijalanjälki -raportti</t>
  </si>
  <si>
    <t>Ks. Taulukko, alkaen sivulta 34, taulukon sarake Päästökerroin.</t>
  </si>
  <si>
    <t>Syötä muun ruokatuotteen kerroin soluun B39.</t>
  </si>
  <si>
    <r>
      <t>kg CO</t>
    </r>
    <r>
      <rPr>
        <vertAlign val="subscript"/>
        <sz val="11"/>
        <rFont val="Calibri"/>
        <family val="2"/>
        <scheme val="minor"/>
      </rPr>
      <t>2</t>
    </r>
    <r>
      <rPr>
        <sz val="11"/>
        <rFont val="Calibri"/>
        <family val="2"/>
        <scheme val="minor"/>
      </rPr>
      <t>/tuote</t>
    </r>
  </si>
  <si>
    <t>Vinkkejä ilmastoystävällisempään ruokailuun löydät esim. täältä:</t>
  </si>
  <si>
    <t>Muun ruokatuotteen päästökerroin</t>
  </si>
  <si>
    <t>Ruoan-ilmastovaikutukset</t>
  </si>
  <si>
    <t xml:space="preserve">Ruokien ilmastoystävällisyyttä mietittäessä kannattaa ottaa huomioon kausittainen vaihtelu ilmastovaikutuksissa. Esim kotimaisen salaatin hiilijalanjälki on talvella moninkertainen kesään verrattuna. </t>
  </si>
  <si>
    <t>Litraa juomaa</t>
  </si>
  <si>
    <t xml:space="preserve">Jos et tiedä kulutetun kahvin/teen määrä litroissa, voit arvioida sen juotujen kupillisten perusteella. </t>
  </si>
  <si>
    <t>Voit laskea kupilliset litroiksi allaolevassa solussa (syötä kupillisten määrä soluun H42).</t>
  </si>
  <si>
    <t>Virvoitusjuomat</t>
  </si>
  <si>
    <t>Kahvi-/teekupillista, lkm</t>
  </si>
  <si>
    <t>Litraa</t>
  </si>
  <si>
    <t>Alkoholijuomat</t>
  </si>
  <si>
    <t>Oletuksena 1 kupillinen = 2 dl.</t>
  </si>
  <si>
    <t>Pullovesi</t>
  </si>
  <si>
    <t>Tässä kohdassa voit arvioida kertakäyttöastioiden käytöstä syntyvän hiilijalanjäljen.</t>
  </si>
  <si>
    <t>Kestoastioita käytettäessä hiilijalanjälkeen vaikuttaa astioiden käyttöikä/käyttökerrat ja pesutapa (kuuman veden kulutus).</t>
  </si>
  <si>
    <t>Vaikutuksen voi olettaa olevan käyttökertaa kohden olematon verrattuna kertakäyttökuppiin. Tiskaamisen aiheuttama energiankulutuksen päästö näkyy toisaalla sähkönkulutuksena.</t>
  </si>
  <si>
    <t>Syötä Tarjotut tuotteet -kohtaan jäsenlehtien, esitteiden yms. kappalemäärät.</t>
  </si>
  <si>
    <t xml:space="preserve">Lehden päästökertoimessa on mukana postitus, joten esim. lähetettyjen jäsenlehtien tiedot syötetään laskurissa ainoastaan tähän kohtaan, </t>
  </si>
  <si>
    <t>ei erikseen postipalvelut-kohtaan.</t>
  </si>
  <si>
    <t>Muiden Tarjotut tuotteet -kohdassa olevien tuotteiden kertoimeen postitus ei kuulu.</t>
  </si>
  <si>
    <t>Huom! Hiilifiksuissa tapahtumissa suositaan julkisia liikennevälineitä, kimppakyytejä jne. :)</t>
  </si>
  <si>
    <t>Tapahtumista aiheutuneet kasvihuonekaasupäästöt yhteensä</t>
  </si>
  <si>
    <t>(1) Salo ym. 2017. https://beta.ilmastodieetti.fi/pdf/Ilmastodieetti_dokumentaatio_2017-10-13.pdf</t>
  </si>
  <si>
    <t>(2) Teknillinen korkeakoulu/Kurnitski J. 2009. https://julkaisut.valtioneuvosto.fi/bitstream/handle/10138/41435/Raportti_B85_Kurnitski.pdf?sequence=4</t>
  </si>
  <si>
    <t>(3) Posti 2018. https://www.posti.com/vastuullisuus/ymparistovastuu/posti-green--palvelut/</t>
  </si>
  <si>
    <t>(4) Saarinen ym. 2011. https://helda.helsinki.fi/bitstream/handle/10138/37037/SY_14_2011.pdf?sequence=3&amp;isAllowed=y</t>
  </si>
  <si>
    <t>(5) Hartikainen &amp; Pulkkinen 2016.  https://jukuri.luke.fi/bitstream/handle/10024/537959/luke-luobio_58_2016.pdf?sequence=1&amp;isAllowed=y</t>
  </si>
  <si>
    <t>(6) Pihkola ym. 2010. https://www.vtt.fi/inf/pdf/tiedotteet/2010/T2560.pdf</t>
  </si>
  <si>
    <t>(7) The Carbon Trust 2011. https://www.carbontrust.com/media/38358/ctc793-international-carbon-flows-clothing.pdf</t>
  </si>
  <si>
    <t>(8) Häkkinen &amp; Vares 2010. https://www.sciencedirect.com/science/article/pii/S0959652610001782</t>
  </si>
  <si>
    <t>(9) Mattila ym. 2011</t>
  </si>
  <si>
    <t>Hiilijalanjälki</t>
  </si>
  <si>
    <t>Tällä sivulla näette järjestönne hiilijalanjäljen. Laskentatulokseen on hyvä suhtautua arviona, jonka ideana on kertoa suuruusluokista ja havainnoida mistä osa-alueista hiilijalanjälki muodostuu.</t>
  </si>
  <si>
    <t>Päästöluokat</t>
  </si>
  <si>
    <r>
      <t>Hiilijalanjälki (kg CO</t>
    </r>
    <r>
      <rPr>
        <b/>
        <vertAlign val="subscript"/>
        <sz val="12"/>
        <color theme="1"/>
        <rFont val="Calibri"/>
        <family val="2"/>
        <scheme val="minor"/>
      </rPr>
      <t>2</t>
    </r>
    <r>
      <rPr>
        <b/>
        <sz val="12"/>
        <color theme="1"/>
        <rFont val="Calibri"/>
        <family val="2"/>
        <scheme val="minor"/>
      </rPr>
      <t>ekv. vuodessa)</t>
    </r>
  </si>
  <si>
    <t>%</t>
  </si>
  <si>
    <t>Eritellyt tulokset</t>
  </si>
  <si>
    <t>Tällä sivulla on eritelty tarkemmin eri päästökategorioiden tuloksia, jotta voidaan tarkastella, mitkä ovat suurimpia päästölähteitä kussakin kategoriassa.</t>
  </si>
  <si>
    <r>
      <t>Päästöt yhteensä (kg CO</t>
    </r>
    <r>
      <rPr>
        <b/>
        <vertAlign val="subscript"/>
        <sz val="12"/>
        <color theme="1"/>
        <rFont val="Calibri"/>
        <family val="2"/>
        <scheme val="minor"/>
      </rPr>
      <t>2</t>
    </r>
    <r>
      <rPr>
        <b/>
        <sz val="12"/>
        <color theme="1"/>
        <rFont val="Calibri"/>
        <family val="2"/>
        <scheme val="minor"/>
      </rPr>
      <t>ekv.)</t>
    </r>
  </si>
  <si>
    <t>Hotelliyöpymiset</t>
  </si>
  <si>
    <t>Kartonki ja pahvi</t>
  </si>
  <si>
    <t>Metalli</t>
  </si>
  <si>
    <t>Muovi</t>
  </si>
  <si>
    <t>Sähkölaitteet (kierrätykseen)</t>
  </si>
  <si>
    <t>Vaarallinen jäte</t>
  </si>
  <si>
    <t>Muu jäte</t>
  </si>
  <si>
    <t>Palvelut ja tapahtumat + hankinnat</t>
  </si>
  <si>
    <t>Tapahtumatilan käyttö</t>
  </si>
  <si>
    <t>Postituspalvelut</t>
  </si>
  <si>
    <t>Muut palvelut</t>
  </si>
  <si>
    <t>Ruoka ja juoma</t>
  </si>
  <si>
    <t>Tarjotut tuotteet</t>
  </si>
  <si>
    <t>Kalusteet ja laitteet</t>
  </si>
  <si>
    <t>Laskennan perusteet</t>
  </si>
  <si>
    <t>Lisätietoja</t>
  </si>
  <si>
    <t>Yleistä</t>
  </si>
  <si>
    <t xml:space="preserve">Energian päästökertoimiin on lisätty polttoaineketjun aiheuttamat päästöt, n. 20%. </t>
  </si>
  <si>
    <t>Sähkö</t>
  </si>
  <si>
    <t>Ostosähkön kertoimena käytetään samaa kerrointa kuin Syken ilmastodieetissä. Vihreän sähkön kertoimena on 0.  Vihreällä sähköllä tarkoitetaan uusiutuvista energialähteistä (esim. tuuli, vesi ja aurinko) tuotettua sähköä. Salo ym. (2017) mukaan jos huomioitaisiin polttoaineen tuotantoketjun aiheuttamat päästöt ja rakentamisen ja korjausten päästöt ja vesivoiman aiheuttamat metaanipäästöt, tyypilliseksi suuruusluokaksi voisi arvioida esim. 20 g CO2 ekv /kWh. Tämä on siis reilusti alle 10% ’tavallisen’ sähkön päästökertoimesta, eikä nollapäästöisyys aiheuta laskennassa suurta virhettä. Laskuriin erikseen syötettäviin tuotekohtaisiin ja myyjän päästökertoimiin lisätään automaattisesti polttoaineketjun päästö 20%.</t>
  </si>
  <si>
    <t>Suomen ympäristökeskus 2017. http://www.ymparisto.fi/fi-FI/Kulutus_ja_tuotanto/Resurssitehokkuus/Elinkaariajattelu/Sahkonhankinnan_paastot</t>
  </si>
  <si>
    <t>Kaukolämpö: yhteistuotanto</t>
  </si>
  <si>
    <t>Kaukolämmön yhteistuotantoalueiden hyödynjakomenetelmällä kolmen viimeisen vuoden keskiarvona määritetty CO2-päästökerroin. Itse laskuriin syötettäviin erillistuotannon ja myyjän päästökertoimiin lisätään automaattisesti polttoaineketjun päästö.</t>
  </si>
  <si>
    <t>Ominaispäästöt on laskettu asiakkaalle myytyä energiamäärää kohti eli laskennassa on huomioitu tuotannon ja siirron häviöt. Lämmön ja jäähdytyksen ominaispäästölaskenta perustuu primäärienergiamenetelmään (SFS-EN-15316-4-5).</t>
  </si>
  <si>
    <t>Sähkölämmitys</t>
  </si>
  <si>
    <t>Sähkölämmityksen päästökerroin sisältää myös lämpöpumppujen sähkönkulutuksen päästöt.</t>
  </si>
  <si>
    <t>Sähköjäähdytys</t>
  </si>
  <si>
    <t>Sähköjäähdytyksen päästökertoimena käytetään Suomen keskimääräisen ostosähkön päästökerrointa.</t>
  </si>
  <si>
    <t>Kaikkeen matkustamiseen on lisätty myös polttoaineketjun aiheuttamat päästöt, n. 20%. Henkilöautoliikenteen kertoimet ovat muotoa g/km, joukkoliikenteen kertoimet g/hkm.</t>
  </si>
  <si>
    <t>Salo ym. 2017. https://beta.ilmastodieetti.fi/pdf/Ilmastodieetti_dokumentaatio_2017-10-13.pdf</t>
  </si>
  <si>
    <t>Lentojen hiilijalanjäljen laskennassa käytetään VTT:n laskemia lentojen päästökertoimia. Kertoimet ovat vuodelta 2008 eivätkä välttämättä täysin ajantasaisia, mutta antavat luultavasti todenmukaisemman arvion, kuin netistä löytyvät lentolaskurit, jotka laskevat päästöt usein selvästi alakanttiin. Kertoimiin on Syken ohjeistuksen mukaisesti lisätty RFI-kerroin 2.</t>
  </si>
  <si>
    <t xml:space="preserve">Jungbluth N. &amp; Meili C. 2018. </t>
  </si>
  <si>
    <t>Henkilöautoliikenteen päästökertoimina on käytetty VTT:n Suomen liikenteen pakokaasupäästöjen ja energiankulutuksen laskentajärjestelmä LIPASTOssa olevia kertoimia. Taksille on käytetty henkilöautojen keskimääräistä kerrointa. Sähköauton sähkönkulutuksen arviona on käytetty Nissan Leaf-henkilöauton keskimääräistä kulutusta. Vihreää sähköä käytettäessä päästökerroin on 0, mutta kaluston valmistuksen päästöt lasketaan. Henkilöautoliikenteelle käytetään samaa kaluston valmistuksen päästökerrointa kuin joukkoliikenteelle. Näin saadaan edes vähän auton valmistuksen päästöjä mukaan, vaikka kerroin on alunperin laskettu linja-autolle g/hkm ja on näinollen henkilöautojen g/km muotoisten kerrointen kohdalla pienempi kuin todellinen g/km-päästö. Sähköauton kaluston valmistuksen päästöt ovat 1,5-kertaiset tavalliseen autoon verrattuna. (Salo ym. 2017) Lento- ja laivaliikenteelle ei ollut saatavilla kaluston valmistuksen päästökerrointa.</t>
  </si>
  <si>
    <r>
      <t>Helsingin paikallisliikenteen päästökerroin on laskettu käyttäen käyttöasteella painotettua keskiarvoa eri paikallisliikenteen liikennevälineiden kertoimista. Lisätty polttoaineketjun päästöt 20%. Joukkoliikenteen kertoimiin on lisäksi lisätty kaluston valmistuksen päästöt 1,3 g/hkm. Muiden alueiden paikallisliikenteen päästökertoimena on keskimääräinen kaupunkibussin CO</t>
    </r>
    <r>
      <rPr>
        <vertAlign val="subscript"/>
        <sz val="11"/>
        <color theme="1"/>
        <rFont val="Calibri"/>
        <family val="2"/>
        <scheme val="minor"/>
      </rPr>
      <t>2</t>
    </r>
    <r>
      <rPr>
        <sz val="11"/>
        <color theme="1"/>
        <rFont val="Calibri"/>
        <family val="2"/>
        <scheme val="minor"/>
      </rPr>
      <t>-ekv. päästökerroin.</t>
    </r>
  </si>
  <si>
    <t>Vuokrabussille käytetään pitkän matkan linja-auton g/km päästökerrointa.</t>
  </si>
  <si>
    <t>Laivaliikenteen päästölaskennassa käytetään VTT:n laskemaa autolauttojen keskimääräistä päästökerrointa (g/hkm).</t>
  </si>
  <si>
    <t xml:space="preserve">Hotelliyöpymisten päästökertoimessa oletuksena on hotelliyöpyminen Suomessa. </t>
  </si>
  <si>
    <t>https://www.motiva.fi/files/4771/Suomen_kansantalouden_materiaalivirtojen_ymparistovaikutusten_arviointi_ENVIMAT-mallilla.pdf</t>
  </si>
  <si>
    <t xml:space="preserve"> Kertoimet perustuvat HSY:n alueella Julia 20130 -hankkeen aikana voimassa olevan jätteenkäsittely- ja hyödyntämisketjun eri vaiheissa tuotettuihin kasvihuonekaasupäästöihin. Uudempia päästökertoimia ei ole tarjolla. Laskurissa päästökertoimina käytetään tuotettujen päästöjen summaa, eikä päästöjen kokonaissummaa, jossa huomioidaan myös vältetyt päästöt. Päästökertoimessa ovat mukana arviot jätteen keräyksestä ja kuljetuksesta, esikäsittelystä ja prosessoinnista tai käsittelystä, jätemateriaalien hyödyntämisestä tai energiakäytöstä syntyvistä päästöistä. </t>
  </si>
  <si>
    <t>https://www.hsy.fi/julia2030/Documents/julia2030/Documents/J%C3%A4tteiden%20khk-kertoimien%20taustadokumentti%202011.pdf</t>
  </si>
  <si>
    <t>Paperin päästökertoimena onkäytetty aikakauslehtipaperin kerrointa. Kierrätyspaperin kerroin on aikakauslehtipaperille, jonka raaka-aineesta 74% on kierrätettyä. Kierrätyspaperin päästöjen on laskettu olevan 150g (/kg) pienemmät kuin tavallisen paperin. Paperin hiilijalanjälki määritellään sen koko elinkaaren aikaisen energiankulutuksen perusteella (ml. mm. puun korjuu, massan ja paperin tuotanto, energian tuotanto, kuljetukset sekä loppukäyttö).</t>
  </si>
  <si>
    <t>VTT 2010. https://www.vtt.fi/inf/pdf/tiedotteet/2010/T2560.pdf</t>
  </si>
  <si>
    <t xml:space="preserve">Kalusteiden ja laitteiden hiilijalanjäljen kertoimina käytetään WWF:n ilmastolaskurin kertoimia. </t>
  </si>
  <si>
    <r>
      <t>Tapahtumatilojen käytön kertoimet on laskettu Teknillisen korkeakoulun Rakennusten energiatehokkuuden määrittämistä koskevan julkaisun arvojen perusteella. Julkaisussa on esitetty arvot eri rakennustyyppien/tilojen lämmön ja sähkönkulutuksille (kWh/m</t>
    </r>
    <r>
      <rPr>
        <vertAlign val="superscript"/>
        <sz val="11"/>
        <color theme="1"/>
        <rFont val="Calibri"/>
        <family val="2"/>
        <scheme val="minor"/>
      </rPr>
      <t>2</t>
    </r>
    <r>
      <rPr>
        <sz val="11"/>
        <color theme="1"/>
        <rFont val="Calibri"/>
        <family val="2"/>
        <scheme val="minor"/>
      </rPr>
      <t>/a). Tässä laskurissa on käytetty vanhojen (2002 ja ennen rakennetut) ja uusien (2003 ja jälkeen rakennetut)rakennusten keskiarvokulutuksia. Kulutus on laskettu tuntikohtaiseksi ja CO2-päästökertoimena käytetty sähkölle Motivan julkaisemaa, Suomen sähköntuotannon päästökerrointa, sekä lämmölle kaukolämmön yhteistuotannon keskimääräistä kerrointa. Näin saadut tilakohtaiset lämmön ja sähkön kertoimet (CO</t>
    </r>
    <r>
      <rPr>
        <vertAlign val="subscript"/>
        <sz val="11"/>
        <color theme="1"/>
        <rFont val="Calibri"/>
        <family val="2"/>
        <scheme val="minor"/>
      </rPr>
      <t>2</t>
    </r>
    <r>
      <rPr>
        <sz val="11"/>
        <color theme="1"/>
        <rFont val="Calibri"/>
        <family val="2"/>
        <scheme val="minor"/>
      </rPr>
      <t>/m</t>
    </r>
    <r>
      <rPr>
        <vertAlign val="superscript"/>
        <sz val="11"/>
        <color theme="1"/>
        <rFont val="Calibri"/>
        <family val="2"/>
        <scheme val="minor"/>
      </rPr>
      <t>2</t>
    </r>
    <r>
      <rPr>
        <sz val="11"/>
        <color theme="1"/>
        <rFont val="Calibri"/>
        <family val="2"/>
        <scheme val="minor"/>
      </rPr>
      <t>/h) yhdistettiin yhdeksi tilan käytön päästökertoimeksi. Laskurissa on mahdollista laskea tilojen käytön päästöt myös euromäärän perusteella, mikäli tilan koon tietoa ei ole saatavilla. Tällöin käytetään Syken Ilmastodieetin mukaista arviota ravintolapalvelujen päästöistä, kun ruoka ja juoma jätetään tarkastelun ulkopuolelle.</t>
    </r>
  </si>
  <si>
    <t>https://julkaisut.valtioneuvosto.fi/bitstream/handle/10138/41435/Raportti_B85_Kurnitski.pdf?sequence=4</t>
  </si>
  <si>
    <t>Siivouksen ja tietoliikenteen päästökertoimet ovat samat kuin Syken Ilmastodieetissä.</t>
  </si>
  <si>
    <t>Kirjelähetykset ja paketit</t>
  </si>
  <si>
    <r>
      <t>Postilähetysten hiilidioksidipäästökertoimet perustuvat Postin ilmoittamiin arvioihin kirjeen ja paketin lähettämisestä syntyvistä keskimääräisistä CO</t>
    </r>
    <r>
      <rPr>
        <vertAlign val="subscript"/>
        <sz val="11"/>
        <color theme="1"/>
        <rFont val="Calibri"/>
        <family val="2"/>
        <scheme val="minor"/>
      </rPr>
      <t>2</t>
    </r>
    <r>
      <rPr>
        <sz val="11"/>
        <color theme="1"/>
        <rFont val="Calibri"/>
        <family val="2"/>
        <scheme val="minor"/>
      </rPr>
      <t>-päästöistä / lähetys.</t>
    </r>
  </si>
  <si>
    <t>Posti 2018. https://www.posti.com/vastuullisuus/ymparistovastuu/posti-green--palvelut/</t>
  </si>
  <si>
    <r>
      <t xml:space="preserve">Ruoka-annosten päästökertoimet perustuvat Suomen Ympäristö -julkaisusarjassa julkaistuun raporttiin </t>
    </r>
    <r>
      <rPr>
        <i/>
        <sz val="11"/>
        <color theme="1"/>
        <rFont val="Calibri"/>
        <family val="2"/>
        <scheme val="minor"/>
      </rPr>
      <t>Aterioiden ja asumisen valinnat kulutuksen ympäristövaikutusten ytimessä</t>
    </r>
    <r>
      <rPr>
        <sz val="11"/>
        <color theme="1"/>
        <rFont val="Calibri"/>
        <family val="2"/>
        <scheme val="minor"/>
      </rPr>
      <t xml:space="preserve"> (Saarinen ym. 2011), jossa on esitetty elinkaariarvioinnin avulla erilaisten ruoka-annosten kasvihuonekaasupäästövaikutus. Tässä laskurissa on käytetty ko. raportissa esitettyjä annosten päästökertoimia, joista vähennetty ruokajuoman osuus. Muiden ruokien ja juomien päästökertoimet saatiin Luken raportista, jossa on arviotu erilaisten ruoka-aineiden kasvihuonekaasupäästövaikutukset.</t>
    </r>
  </si>
  <si>
    <t>Saarinen ym. 2011. https://helda.helsinki.fi/bitstream/handle/10138/37037/SY_14_2011.pdf?sequence=3&amp;isAllowed=y, Hartikainen &amp; Pulkinen 2016. https://jukuri.luke.fi/bitstream/handle/10024/537959/luke-luobio_58_2016.pdf?sequence=1&amp;isAllowed=y</t>
  </si>
  <si>
    <t>Kertakäyttöastia, muki</t>
  </si>
  <si>
    <t xml:space="preserve">Kertakäyttömukin kerroin perustuu VTT:n tekemään kartonkimukin elinkaarianalyysiin. Oletuksena on kartonkimuki biomuovipinnoitteella, hävitystapana poltto. </t>
  </si>
  <si>
    <t>Häkkinen &amp; Vares 2010. https://www.sciencedirect.com/science/article/pii/S0959652610001782</t>
  </si>
  <si>
    <t>Jäsenlehti</t>
  </si>
  <si>
    <t>Jäsenlehden päästökerroin perustuu VTT:n tekemään elinkaariarviointiin, jossa laskettiin aikakauslehden hiilijalanjälki. Arvioinnissassa on laskettu yhden aikakauslehtitonnin valmistamisen ja käytön aiheuttamat päästöt ja tehty sen perusteella arvio hiilijalanjäljestä aikakauslehdelle, joka ilmestyy 48 kertaa vuodessa. Tässä laskurissa käytetty kerroin kertoo yhden yksittäisen aikakauslehden aiheuttamat hiilipäästöt.</t>
  </si>
  <si>
    <t>Pihkola ym. 2010. https://www.vtt.fi/inf/pdf/tiedotteet/2010/T2560.pdf,  https://www.vtt.fi/files/sites/leader/aikakauslehden_hiilijalanjalki_2010.pdf</t>
  </si>
  <si>
    <t>Esite</t>
  </si>
  <si>
    <t>Oletuksena 4-sivuinen esite.</t>
  </si>
  <si>
    <t>Pihkola ym. 2010. https://www.vtt.fi/inf/pdf/tiedotteet/2010/T2560.pdf</t>
  </si>
  <si>
    <t>Kirja</t>
  </si>
  <si>
    <t xml:space="preserve">Oletuksena n. 300 sivuinen kirja. </t>
  </si>
  <si>
    <t>T-paita</t>
  </si>
  <si>
    <t>T-paidan / tekstiilin päästökerroin perustuu Carbon Trustin laskemaan T-paidan hiilijalanjälkeen. Kertoimesta on kuitenkin jätetty pois käytön aikainen osuus, eli n. puolet. Käytön aikaisissa päästöissä on huomioitu pesu, rumpukuivaus ja silitys, joka ei välttämättä vastaa todellista käyttöä. Lisäksi oletetaan, että ko. päästöt huomioidaan sähkönkulutuksena muualla.</t>
  </si>
  <si>
    <t>Laskennassa käytettävät päästökertoimet</t>
  </si>
  <si>
    <t>Lähteet</t>
  </si>
  <si>
    <t>Tarkat lähdeviitteet löydät tämän sivun alaosasta.</t>
  </si>
  <si>
    <r>
      <t>CO</t>
    </r>
    <r>
      <rPr>
        <b/>
        <vertAlign val="subscript"/>
        <sz val="11"/>
        <rFont val="Calibri"/>
        <family val="2"/>
        <scheme val="minor"/>
      </rPr>
      <t>2</t>
    </r>
    <r>
      <rPr>
        <b/>
        <sz val="11"/>
        <rFont val="Calibri"/>
        <family val="2"/>
        <scheme val="minor"/>
      </rPr>
      <t>ekv (g/kWh)</t>
    </r>
  </si>
  <si>
    <t>Salo ym. 2017</t>
  </si>
  <si>
    <t>100% vihreä sähkö</t>
  </si>
  <si>
    <t>Mälkki ym. 1999</t>
  </si>
  <si>
    <t>Tuotekohtainen päästökerroin</t>
  </si>
  <si>
    <t>Osa vihreää sähköä</t>
  </si>
  <si>
    <t xml:space="preserve"> Motiva 2018</t>
  </si>
  <si>
    <t>Erillistuotanto</t>
  </si>
  <si>
    <t>Uusiutuva kaukolämpö</t>
  </si>
  <si>
    <t>Myyjän ilmoittama päästökerroin</t>
  </si>
  <si>
    <t>Osa uusiutuvaa kaukolämpöä</t>
  </si>
  <si>
    <t>Helen 2017</t>
  </si>
  <si>
    <t>Heljo &amp; Laine 2005</t>
  </si>
  <si>
    <t>Vihreä sähkö</t>
  </si>
  <si>
    <r>
      <t>CO</t>
    </r>
    <r>
      <rPr>
        <b/>
        <vertAlign val="subscript"/>
        <sz val="11"/>
        <rFont val="Calibri"/>
        <family val="2"/>
        <scheme val="minor"/>
      </rPr>
      <t>2</t>
    </r>
    <r>
      <rPr>
        <b/>
        <sz val="11"/>
        <rFont val="Calibri"/>
        <family val="2"/>
        <scheme val="minor"/>
      </rPr>
      <t>ekv (g/hkm)</t>
    </r>
  </si>
  <si>
    <t>Lyhyet lennot, alle 463 km</t>
  </si>
  <si>
    <t>6 &amp; 7</t>
  </si>
  <si>
    <t xml:space="preserve"> VTT 2008, Jungbluth &amp; Meili 2018</t>
  </si>
  <si>
    <t xml:space="preserve">Pitkät lennot, Eurooppa, yli 463 km </t>
  </si>
  <si>
    <t> VTT 2008, Jungbluth &amp; Meili 2018</t>
  </si>
  <si>
    <t>Kaukolennot</t>
  </si>
  <si>
    <r>
      <t>CO</t>
    </r>
    <r>
      <rPr>
        <b/>
        <vertAlign val="subscript"/>
        <sz val="11"/>
        <color theme="1"/>
        <rFont val="Calibri"/>
        <family val="2"/>
        <scheme val="minor"/>
      </rPr>
      <t>2</t>
    </r>
    <r>
      <rPr>
        <b/>
        <sz val="11"/>
        <color theme="1"/>
        <rFont val="Calibri"/>
        <family val="2"/>
        <scheme val="minor"/>
      </rPr>
      <t>ekv (g/km)</t>
    </r>
  </si>
  <si>
    <t xml:space="preserve">Ajetut km:t (diesel) </t>
  </si>
  <si>
    <t>8 &amp; 1</t>
  </si>
  <si>
    <t>VTT 2017, Salo ym. 2017</t>
  </si>
  <si>
    <t>Ajetut km:t (bensiini)</t>
  </si>
  <si>
    <t>Ajetut km:t (kaasu)</t>
  </si>
  <si>
    <t xml:space="preserve">Ajetut km:t (p.aine ei tiedossa) </t>
  </si>
  <si>
    <t>Taksi</t>
  </si>
  <si>
    <t>Ajetut km:t (sähköauto)</t>
  </si>
  <si>
    <t>1 &amp; 9</t>
  </si>
  <si>
    <t>Salo ym. 2017, Next Green Car Limited 2016</t>
  </si>
  <si>
    <t>2 &amp; 1</t>
  </si>
  <si>
    <t>Mälkki ym. 1999, Salo ym. 2017</t>
  </si>
  <si>
    <r>
      <t>CO</t>
    </r>
    <r>
      <rPr>
        <b/>
        <vertAlign val="subscript"/>
        <sz val="11"/>
        <color theme="1"/>
        <rFont val="Calibri"/>
        <family val="2"/>
        <scheme val="minor"/>
      </rPr>
      <t>2</t>
    </r>
    <r>
      <rPr>
        <b/>
        <sz val="11"/>
        <color theme="1"/>
        <rFont val="Calibri"/>
        <family val="2"/>
        <scheme val="minor"/>
      </rPr>
      <t>ekv (g/hkm)</t>
    </r>
  </si>
  <si>
    <t>Bussi (kaukoliikenne) km:t</t>
  </si>
  <si>
    <t>Juna (kaukoliikenne) km:t</t>
  </si>
  <si>
    <t>Paikallisliikenne (Helsinki) km:t</t>
  </si>
  <si>
    <t xml:space="preserve">13, 8, &amp; 1 </t>
  </si>
  <si>
    <t>WWF 2017, VTT 2017, Salo ym. 2017</t>
  </si>
  <si>
    <t>Paikallisliikenne (bussit) km:t</t>
  </si>
  <si>
    <r>
      <t>CO</t>
    </r>
    <r>
      <rPr>
        <b/>
        <vertAlign val="subscript"/>
        <sz val="11"/>
        <color theme="1"/>
        <rFont val="Calibri"/>
        <family val="2"/>
        <scheme val="minor"/>
      </rPr>
      <t>2</t>
    </r>
    <r>
      <rPr>
        <b/>
        <sz val="11"/>
        <color theme="1"/>
        <rFont val="Calibri"/>
        <family val="2"/>
        <scheme val="minor"/>
      </rPr>
      <t xml:space="preserve">ekv (g/hkm) </t>
    </r>
  </si>
  <si>
    <t>Autolautta/risteilyalus</t>
  </si>
  <si>
    <r>
      <t>CO</t>
    </r>
    <r>
      <rPr>
        <b/>
        <vertAlign val="subscript"/>
        <sz val="11"/>
        <color theme="1"/>
        <rFont val="Calibri"/>
        <family val="2"/>
        <scheme val="minor"/>
      </rPr>
      <t>2</t>
    </r>
    <r>
      <rPr>
        <b/>
        <sz val="11"/>
        <color theme="1"/>
        <rFont val="Calibri"/>
        <family val="2"/>
        <scheme val="minor"/>
      </rPr>
      <t xml:space="preserve">ekv g/€ </t>
    </r>
  </si>
  <si>
    <t>Seppälä ym. 2009</t>
  </si>
  <si>
    <r>
      <t>CO</t>
    </r>
    <r>
      <rPr>
        <b/>
        <vertAlign val="subscript"/>
        <sz val="11"/>
        <color theme="1"/>
        <rFont val="Calibri"/>
        <family val="2"/>
        <scheme val="minor"/>
      </rPr>
      <t>2</t>
    </r>
    <r>
      <rPr>
        <b/>
        <sz val="11"/>
        <color theme="1"/>
        <rFont val="Calibri"/>
        <family val="2"/>
        <scheme val="minor"/>
      </rPr>
      <t>ekv (g/kg)</t>
    </r>
  </si>
  <si>
    <t>Dahlbo ym. 2011</t>
  </si>
  <si>
    <t>HSY 2018</t>
  </si>
  <si>
    <t>WWF 2017</t>
  </si>
  <si>
    <t>Tavallinen paperi</t>
  </si>
  <si>
    <t>Pihkola ym. 2010</t>
  </si>
  <si>
    <t>Kierrätyspaperi</t>
  </si>
  <si>
    <r>
      <t>CO</t>
    </r>
    <r>
      <rPr>
        <b/>
        <vertAlign val="subscript"/>
        <sz val="11"/>
        <color theme="1"/>
        <rFont val="Calibri"/>
        <family val="2"/>
        <scheme val="minor"/>
      </rPr>
      <t>2</t>
    </r>
    <r>
      <rPr>
        <b/>
        <sz val="11"/>
        <color theme="1"/>
        <rFont val="Calibri"/>
        <family val="2"/>
        <scheme val="minor"/>
      </rPr>
      <t>ekv (g/kappale)</t>
    </r>
  </si>
  <si>
    <t>Matkapuhelin</t>
  </si>
  <si>
    <t>Läppäri</t>
  </si>
  <si>
    <t>Pöytätietokone</t>
  </si>
  <si>
    <t>LCD-näyttö</t>
  </si>
  <si>
    <t>LED-näyttö, LED-televisio</t>
  </si>
  <si>
    <t>Monitoimilaite (tulostus+kopointi+skannaus)</t>
  </si>
  <si>
    <t>Tulostin</t>
  </si>
  <si>
    <t>Metallirunkoinen pöytä</t>
  </si>
  <si>
    <t>Sähköpöytä</t>
  </si>
  <si>
    <t>Työpydän tuoli (renkailla)</t>
  </si>
  <si>
    <t>Muu tuoli</t>
  </si>
  <si>
    <t>Kierrätyskalusteet</t>
  </si>
  <si>
    <t>Muut laitteet ja kalusteet</t>
  </si>
  <si>
    <t>Palvelut</t>
  </si>
  <si>
    <t>CO2ekv (g/m2/h)</t>
  </si>
  <si>
    <t>Toimistorakennus</t>
  </si>
  <si>
    <t xml:space="preserve">Kurnitski J. 2009 </t>
  </si>
  <si>
    <t>Hotelli</t>
  </si>
  <si>
    <t>Kurnitski J. 2009 </t>
  </si>
  <si>
    <t>Liikuntasali</t>
  </si>
  <si>
    <t>Vaihtoehto:</t>
  </si>
  <si>
    <t>g/€</t>
  </si>
  <si>
    <t>Tapahtumatila, €</t>
  </si>
  <si>
    <t>Postipalvelut</t>
  </si>
  <si>
    <r>
      <t>CO</t>
    </r>
    <r>
      <rPr>
        <b/>
        <vertAlign val="subscript"/>
        <sz val="11"/>
        <color theme="1"/>
        <rFont val="Calibri"/>
        <family val="2"/>
        <scheme val="minor"/>
      </rPr>
      <t>2</t>
    </r>
    <r>
      <rPr>
        <b/>
        <sz val="11"/>
        <color theme="1"/>
        <rFont val="Calibri"/>
        <family val="2"/>
        <scheme val="minor"/>
      </rPr>
      <t>ekv (g/kpl)</t>
    </r>
  </si>
  <si>
    <t>Kirjelähetykset</t>
  </si>
  <si>
    <t>Posti 2018</t>
  </si>
  <si>
    <t>Pakettilähetykset</t>
  </si>
  <si>
    <r>
      <t>CO</t>
    </r>
    <r>
      <rPr>
        <b/>
        <vertAlign val="subscript"/>
        <sz val="11"/>
        <color theme="1"/>
        <rFont val="Calibri"/>
        <family val="2"/>
        <scheme val="minor"/>
      </rPr>
      <t>2</t>
    </r>
    <r>
      <rPr>
        <b/>
        <sz val="11"/>
        <color theme="1"/>
        <rFont val="Calibri"/>
        <family val="2"/>
        <scheme val="minor"/>
      </rPr>
      <t>ekv (g/€)</t>
    </r>
  </si>
  <si>
    <t>Siivous</t>
  </si>
  <si>
    <t>Netti ja soittelu</t>
  </si>
  <si>
    <t>Ruokatarjoilut</t>
  </si>
  <si>
    <r>
      <t>CO</t>
    </r>
    <r>
      <rPr>
        <b/>
        <vertAlign val="subscript"/>
        <sz val="11"/>
        <rFont val="Calibri"/>
        <family val="2"/>
        <scheme val="minor"/>
      </rPr>
      <t>2</t>
    </r>
    <r>
      <rPr>
        <b/>
        <sz val="11"/>
        <rFont val="Calibri"/>
        <family val="2"/>
        <scheme val="minor"/>
      </rPr>
      <t>ekv (g/annos)</t>
    </r>
  </si>
  <si>
    <t>Naudanliha-ateria</t>
  </si>
  <si>
    <t>Saarinen ym. 2011</t>
  </si>
  <si>
    <t>Porsaanliha-ateria</t>
  </si>
  <si>
    <t>Kana-ateria</t>
  </si>
  <si>
    <t>Kala-ateria</t>
  </si>
  <si>
    <t>Kasvisateria</t>
  </si>
  <si>
    <t>Saarinen ym. 2012</t>
  </si>
  <si>
    <t>Kasvisateria, vegaaninen</t>
  </si>
  <si>
    <t>Leivonnainen</t>
  </si>
  <si>
    <t>Hartikainen &amp; Pulkkinen 2016</t>
  </si>
  <si>
    <t>Makkara</t>
  </si>
  <si>
    <t>Hartikainen &amp; Pulkkinen 2017</t>
  </si>
  <si>
    <t>Hartikainen &amp; Pulkkinen 2018</t>
  </si>
  <si>
    <t>Hedelmä (oletuspaino 200g)</t>
  </si>
  <si>
    <t>Hartikainen &amp; Pulkkinen 2019</t>
  </si>
  <si>
    <t>Muu ruokatuote</t>
  </si>
  <si>
    <t>Juomat</t>
  </si>
  <si>
    <r>
      <t>CO</t>
    </r>
    <r>
      <rPr>
        <b/>
        <vertAlign val="subscript"/>
        <sz val="11"/>
        <rFont val="Calibri"/>
        <family val="2"/>
        <scheme val="minor"/>
      </rPr>
      <t>2</t>
    </r>
    <r>
      <rPr>
        <b/>
        <sz val="11"/>
        <rFont val="Calibri"/>
        <family val="2"/>
        <scheme val="minor"/>
      </rPr>
      <t>ekv (g/kg)</t>
    </r>
  </si>
  <si>
    <t>Kahvi</t>
  </si>
  <si>
    <t>Tee</t>
  </si>
  <si>
    <r>
      <t>CO</t>
    </r>
    <r>
      <rPr>
        <b/>
        <vertAlign val="subscript"/>
        <sz val="11"/>
        <rFont val="Calibri"/>
        <family val="2"/>
        <scheme val="minor"/>
      </rPr>
      <t>2</t>
    </r>
    <r>
      <rPr>
        <b/>
        <sz val="11"/>
        <rFont val="Calibri"/>
        <family val="2"/>
        <scheme val="minor"/>
      </rPr>
      <t>ekv (g/kpl)</t>
    </r>
  </si>
  <si>
    <t>Kertakäyttöastia (muki)</t>
  </si>
  <si>
    <t>Häkkinen &amp; Vares 2010</t>
  </si>
  <si>
    <t>Jäsenlehti (kpl/vuosi)</t>
  </si>
  <si>
    <t>T-paita tai muu tekstiili</t>
  </si>
  <si>
    <t>The Carbon Trust 2011</t>
  </si>
  <si>
    <t>Paperikassi</t>
  </si>
  <si>
    <t>Mattila ym. 2011</t>
  </si>
  <si>
    <t>Lähdeviitteet:</t>
  </si>
  <si>
    <t>Salo ym. 2017. Ilmastodieetti – mihin sen antamat ilmastopainot perustuvat? Verkkojulkaisu. Saatavilla: https://beta.ilmastodieetti.fi/pdf/Ilmastodieetti_dokumentaatio_2017-10-13.pdf</t>
  </si>
  <si>
    <t>Mälkki H., Hongisto M., Turkulainen T., Kuisma J. &amp; Loikkanen T. 1999. Vihreän energian kriteerit ja elinkaariarviointi energiatuotteiden ympäristökilpailukyvyn arvioinnissa. Espoo: VTT</t>
  </si>
  <si>
    <t>Motiva 2018. CO2-päästökertoimet. Verkkosivu. Saatavilla: https://www.motiva.fi/ratkaisut/energiankaytto_suomessa/co2-laskentaohje_energiankulutuksen_hiilidioksidipaastojen_laskentaan/co2-paastokertoimet</t>
  </si>
  <si>
    <t>Helen 2017. Energian ominaispäästöt. Verkkosivu. Saatavilla: https://www.helen.fi/yritys/energia/energiantuotanto/sahkon-ja-lammon-ominaispaastot/</t>
  </si>
  <si>
    <t>Heljo J. &amp; Laine H. 2005. Sähkölämmitys ja lämpöpumput sähkönkäyttäjinä ja päästöjen aiheuttajina Suomessa. Näkökulma ja malli sähkönkäytön aiheuttamien CO2-ekv päästöjen arviointia varten. Tampereen teknillinen yliopisto. Rakentamistalouden laitos, Tampere.</t>
  </si>
  <si>
    <t xml:space="preserve"> VTT 2008. LIPASTO Ilmaliikenne: henkilöliikenne. Verkkosivu. Saatavilla: http://lipasto.vtt.fi/yksikkopaastot/henkiloliikenne/ilmaliikenne/henkilo_ilma.htm</t>
  </si>
  <si>
    <t>Jungbluth N. &amp; Meili C. 2018. Recommendations for calculation of the global warming potential of aviation including the radiative forcing index. The International Journal of Life Cycle Assessment. November 2018</t>
  </si>
  <si>
    <t>VTT 2017. LIPASTO Tieliikenne: henkilöliikenne. Verkkosivu. Saatavilla: http://lipasto.vtt.fi/yksikkopaastot/henkiloliikenne/tieliikenne/henkilo_tie.htm</t>
  </si>
  <si>
    <t>Next Green Car Limited 2016. Next Green Car NGC Emissions Calculator Methodology Version 2.3. Verkkojulkaisu. Saatavilla: https://www.nextgreencar.com/content/NGC-Emissions-Calculator-Methodology-2015.pdf</t>
  </si>
  <si>
    <t>Seppälä J., Mäenpää I., Koskela S., Mattila T., Nissinen A., Katajajuuri J-M., Härmä T., Korhonen M-R., Saarinen M. ja Virtanen Y. 2009. Suomen kansantalouden materiaalivirtojen ympäristövaikutusten arviointi ENVIMAT-mallilla, Liite 8. Saatavilla: https://www.motiva.fi/files/4771/Suomen_kansantalouden_materiaalivirtojen_ymparistovaikutusten_arviointi_ENVIMAT-mallilla.pdf</t>
  </si>
  <si>
    <t>Dahlbo ym. 2011. HSY:n alueella tuotettujen, käsiteltyjen ja hyödynnettyjen jätelajien khk-päästökertoimet – Laskelmientaustatietoa. Julia 2030 -hanke, Suomen ympäristökeskus. Verkkojulkaisu. Saatavilla: https://www.hsy.fi/julia2030/Documents/julia2030/Documents/J%C3%A4tteiden%20khk-kertoimien%20taustadokumentti%202011.pdf</t>
  </si>
  <si>
    <t>HSY 2018. Henna Teerihalmeen konsultointi.</t>
  </si>
  <si>
    <t>WWF 2017. Laskentaperusteet. Verkkosivu. Saatavilla: http://www.ilmastolaskuri.fi/fi/calculation-basis?country=2&amp;year=10746.</t>
  </si>
  <si>
    <t>Pihkola H., Nors M., Kujanpää M., Helin T., Kariniemi M., Pajula T., Dahlbo H. &amp; Koskela S. 2010. Carbon footprint and environmental impacts of print products from cradle to grave. Results from the LEADER project (Part 1). Espoo 2010. VTT Tiedotteita – Research Notes 2560. Saatavilla: https://www.vtt.fi/inf/pdf/tiedotteet/2010/T2560.pdf</t>
  </si>
  <si>
    <t>Kurnitski J. 2009. Rakennusten energiatehokkuuden osoittaminen kiinteistöveron porrastusta varten. Raportti B85. Teknillinen korkeakoulu, Espoo. Saatavilla: https://julkaisut.valtioneuvosto.fi/bitstream/handle/10138/41435/Raportti_B85_Kurnitski.pdf?sequence=4</t>
  </si>
  <si>
    <t>Posti 2018. Posti Green -palvelut. Verkkosivu. Saatavilla: https://www.posti.com/vastuullisuus/ymparistovastuu/posti-green--palvelut/</t>
  </si>
  <si>
    <t>Saarinen M., Kurppa S., Nissinen A. ja Mäkelä J. 2011.Aterioiden ja asumisen valinnat kulutuksen ympäristövaikutusten ytimessä. ConsEnv-hankkeen loppuraportti. Suomen ympäristö 14/2011. Helsinki. Saatavilla: https://helda.helsinki.fi/bitstream/handle/10138/37037/SY_14_2011.pdf?sequence=3&amp;isAllowed=y</t>
  </si>
  <si>
    <t>Hartikainen H. &amp; Pulkkinen H. 2016. Summary of the chosen methodologies and practices to produce GHGE-estimates for an average European diet. Natural resources and bioeconomy studies 58/2016. Natural Resources Institute Finland (Luke), Helsinki. Saatavilla: https://jukuri.luke.fi/bitstream/handle/10024/537959/luke-luobio_58_2016.pdf?sequence=1&amp;isAllowed=y</t>
  </si>
  <si>
    <t>The Carbon Trust 2011. International Carbon Flows - Clothing. Verkkojulkaisu. Saatavilla: https://www.carbontrust.com/media/38358/ctc793-international-carbon-flows-clothing.pdf</t>
  </si>
  <si>
    <t>Häkkinen T &amp; Vares S. 2010. Environmental impacts of disposable cups with special focus on the effect of material choices and end of life Journal of Cleaner Production 18: 1458-1463.</t>
  </si>
  <si>
    <t xml:space="preserve">Mattila T., Kujanpää M., Dahlbo H., Soukka R. ja Myllymaa T. 2011. Uncertainty and Sensitivity in the Carbon Footprint of Shopping Bags. Journal of Industrial Ecology 15 (2): 217-227.
</t>
  </si>
  <si>
    <r>
      <rPr>
        <b/>
        <sz val="14"/>
        <rFont val="Calibri"/>
        <family val="2"/>
        <scheme val="minor"/>
      </rPr>
      <t>Muutosloki</t>
    </r>
    <r>
      <rPr>
        <b/>
        <u/>
        <sz val="14"/>
        <color theme="1"/>
        <rFont val="Calibri"/>
        <family val="2"/>
        <scheme val="minor"/>
      </rPr>
      <t xml:space="preserve"> </t>
    </r>
  </si>
  <si>
    <t>Hiilifiksu järjestö -hiilijalanjälkilaskuria pyritään pitämään ajan tasalla sitä mukaa kun päästökertoimet päivittyvät ja laskentamentelmät tarkentuvat.</t>
  </si>
  <si>
    <t>Päivitetty 3/2019</t>
  </si>
  <si>
    <t>Päästökertoimet:</t>
  </si>
  <si>
    <t>Laskurissa käytettävät päästökertoimet päivitetään tarvittaessa kerran vuodessa 15. elokuuta ellei toisin mainita.</t>
  </si>
  <si>
    <t>Laskentamallit:</t>
  </si>
  <si>
    <t>Laskurissa käytettäviä laskentamalleja päivitetään kun uusi, todennetusti nykyistä parempi malli on otettu käyttöön.</t>
  </si>
  <si>
    <t>Pvm</t>
  </si>
  <si>
    <t>Muutos/Päivitys</t>
  </si>
  <si>
    <t>Lähde/Viite:</t>
  </si>
  <si>
    <t xml:space="preserve">Muutoksia liittyen matkustaminen- ja tapahtumat (juomat lisätty) -välilehtiin. Tarkennettu laskennan perusteita ja ohjeita. </t>
  </si>
  <si>
    <t xml:space="preserve">Muutettu ohjeistusta energia-välilehdellä liittyen ostosähkön tuotekohtaiseen päästökertoimeen. </t>
  </si>
  <si>
    <t>Lisätty kertakäyttöastia ja kasvisruoka + ohjeita.</t>
  </si>
  <si>
    <t>Korjattu lentojen laskennan kaavan järjestystä, minkä seurauksena tulos pienenee hieman aiemmasta. </t>
  </si>
  <si>
    <t>Päivitetty ohjeita, lisätty muuntomahdollisuus maileista kilometreiksi Matkustaminen-välilehdelle, poistettu Suomen lennot Matkustaminen-välilehdeltä (käytön selkeyttämiseksi), lisätty Palvelut &amp; Tapahtumat -välilehdelle 2 eri sämpylävaihtoehtoa, hedelmä, juomia ja paperikassi, lisätty energiajäte Jäte-välilehdelle + sivun alareunaan kuva eri koon jäteastioista. </t>
  </si>
  <si>
    <t>JÄRJESTÖN OMAT MUISTIINPANOT</t>
  </si>
  <si>
    <t>Muistattehan kirjata ylös järjestönne hiilijalanjälkilaskennan rajaukseen ja laskentaan liittyvät asiat. (Mitä on huomioitu eri kategorioissa, miten laskettu, mitä jätetty tarkastelun ulkopuolelle, jne.)</t>
  </si>
  <si>
    <t>Kaukolämmön kulutuksen arviointi, lähde: https://energia.fi/files/5384/Kaukolampotilasto_2019.pdf</t>
  </si>
  <si>
    <t>Tampereen toimipisteen sähkönkulutus arvioitu Mitä maksaa -kulutuslaskurilla: http://voimatori.fi/energiatietoa/Kulutuslaskuri/fi_FI/Mita_maksaa/.</t>
  </si>
  <si>
    <t>TRE arvioitu kulutus:</t>
  </si>
  <si>
    <t>kWh/a</t>
  </si>
  <si>
    <t>JKL kulutus:</t>
  </si>
  <si>
    <t xml:space="preserve">kWh/a </t>
  </si>
  <si>
    <t xml:space="preserve">HKI kulutus: </t>
  </si>
  <si>
    <t xml:space="preserve">YHT. </t>
  </si>
  <si>
    <t>Ruokatarjoilujen arviointi 24 500 €,suurinosa kokoustarjoiluja kuten leivonnaisia/sämpylää, aterioita vähemmän.</t>
  </si>
  <si>
    <t xml:space="preserve">kokoustarjoilu sis. sämpylä &amp; leivonnainen 15 € </t>
  </si>
  <si>
    <t xml:space="preserve">Muiden aterioiden kohdalla Pesäpuun oma arvio 500 kpl.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</si>
</sst>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3"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i/>
      <sz val="11"/>
      <color theme="1"/>
      <name val="Calibri"/>
      <family val="2"/>
      <scheme val="minor"/>
    </font>
    <font>
      <u/>
      <sz val="11"/>
      <color theme="1"/>
      <name val="Calibri"/>
      <family val="2"/>
      <scheme val="minor"/>
    </font>
    <font>
      <sz val="14"/>
      <color theme="1"/>
      <name val="Calibri"/>
      <family val="2"/>
      <scheme val="minor"/>
    </font>
    <font>
      <u/>
      <sz val="11"/>
      <color theme="10"/>
      <name val="Calibri"/>
      <family val="2"/>
      <scheme val="minor"/>
    </font>
    <font>
      <b/>
      <sz val="11"/>
      <name val="Calibri"/>
      <family val="2"/>
      <scheme val="minor"/>
    </font>
    <font>
      <b/>
      <sz val="12"/>
      <color theme="1"/>
      <name val="Calibri"/>
      <family val="2"/>
      <scheme val="minor"/>
    </font>
    <font>
      <b/>
      <vertAlign val="subscript"/>
      <sz val="11"/>
      <name val="Calibri"/>
      <family val="2"/>
      <scheme val="minor"/>
    </font>
    <font>
      <sz val="10"/>
      <color theme="1"/>
      <name val="Calibri"/>
      <family val="2"/>
      <scheme val="minor"/>
    </font>
    <font>
      <b/>
      <sz val="11"/>
      <color rgb="FFFF0000"/>
      <name val="Calibri"/>
      <family val="2"/>
      <scheme val="minor"/>
    </font>
    <font>
      <b/>
      <sz val="12"/>
      <name val="Calibri"/>
      <family val="2"/>
      <scheme val="minor"/>
    </font>
    <font>
      <b/>
      <sz val="11"/>
      <color theme="0"/>
      <name val="Calibri"/>
      <family val="2"/>
      <scheme val="minor"/>
    </font>
    <font>
      <sz val="9"/>
      <color indexed="81"/>
      <name val="Tahoma"/>
      <family val="2"/>
    </font>
    <font>
      <b/>
      <vertAlign val="subscript"/>
      <sz val="12"/>
      <color theme="1"/>
      <name val="Calibri"/>
      <family val="2"/>
      <scheme val="minor"/>
    </font>
    <font>
      <vertAlign val="subscript"/>
      <sz val="11"/>
      <color theme="1"/>
      <name val="Calibri"/>
      <family val="2"/>
      <scheme val="minor"/>
    </font>
    <font>
      <vertAlign val="superscript"/>
      <sz val="11"/>
      <color theme="1"/>
      <name val="Calibri"/>
      <family val="2"/>
      <scheme val="minor"/>
    </font>
    <font>
      <sz val="12"/>
      <color theme="1"/>
      <name val="Calibri"/>
      <family val="2"/>
      <scheme val="minor"/>
    </font>
    <font>
      <b/>
      <sz val="10"/>
      <color indexed="10"/>
      <name val="Calibri"/>
      <family val="2"/>
      <scheme val="minor"/>
    </font>
    <font>
      <b/>
      <sz val="10"/>
      <name val="Calibri"/>
      <family val="2"/>
      <scheme val="minor"/>
    </font>
    <font>
      <sz val="10"/>
      <name val="Calibri"/>
      <family val="2"/>
      <scheme val="minor"/>
    </font>
    <font>
      <sz val="11"/>
      <color indexed="8"/>
      <name val="Calibri"/>
      <family val="2"/>
      <scheme val="minor"/>
    </font>
    <font>
      <b/>
      <sz val="11"/>
      <color indexed="8"/>
      <name val="Calibri"/>
      <family val="2"/>
      <scheme val="minor"/>
    </font>
    <font>
      <b/>
      <vertAlign val="subscript"/>
      <sz val="11"/>
      <color indexed="8"/>
      <name val="Calibri"/>
      <family val="2"/>
      <scheme val="minor"/>
    </font>
    <font>
      <vertAlign val="subscript"/>
      <sz val="11"/>
      <name val="Calibri"/>
      <family val="2"/>
      <scheme val="minor"/>
    </font>
    <font>
      <b/>
      <vertAlign val="superscript"/>
      <sz val="11"/>
      <name val="Calibri"/>
      <family val="2"/>
      <scheme val="minor"/>
    </font>
    <font>
      <b/>
      <sz val="8"/>
      <color rgb="FF333333"/>
      <name val="Calibri"/>
      <family val="2"/>
      <scheme val="minor"/>
    </font>
    <font>
      <b/>
      <sz val="12"/>
      <color indexed="8"/>
      <name val="Calibri"/>
      <family val="2"/>
      <scheme val="minor"/>
    </font>
    <font>
      <b/>
      <vertAlign val="subscript"/>
      <sz val="11"/>
      <color theme="1"/>
      <name val="Calibri"/>
      <family val="2"/>
      <scheme val="minor"/>
    </font>
    <font>
      <sz val="16"/>
      <color theme="1"/>
      <name val="Calibri"/>
      <family val="2"/>
      <scheme val="minor"/>
    </font>
    <font>
      <b/>
      <i/>
      <sz val="12"/>
      <color theme="1"/>
      <name val="Calibri"/>
      <family val="2"/>
      <scheme val="minor"/>
    </font>
    <font>
      <b/>
      <sz val="13"/>
      <color theme="9" tint="-0.249977111117893"/>
      <name val="Calibri"/>
      <family val="2"/>
      <scheme val="minor"/>
    </font>
    <font>
      <sz val="11"/>
      <color rgb="FF333333"/>
      <name val="Calibri"/>
      <family val="2"/>
      <scheme val="minor"/>
    </font>
    <font>
      <b/>
      <sz val="14"/>
      <name val="Calibri"/>
      <family val="2"/>
      <scheme val="minor"/>
    </font>
    <font>
      <b/>
      <u/>
      <sz val="14"/>
      <color theme="1"/>
      <name val="Calibri"/>
      <family val="2"/>
      <scheme val="minor"/>
    </font>
    <font>
      <sz val="9"/>
      <color theme="1"/>
      <name val="Calibri"/>
      <family val="2"/>
      <scheme val="minor"/>
    </font>
    <font>
      <sz val="10"/>
      <color rgb="FFFF0000"/>
      <name val="Calibri"/>
      <family val="2"/>
      <scheme val="minor"/>
    </font>
    <font>
      <sz val="9"/>
      <color indexed="81"/>
      <name val="Tahoma"/>
      <charset val="1"/>
    </font>
    <font>
      <i/>
      <sz val="12"/>
      <color theme="1"/>
      <name val="Calibri"/>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rgb="FFF8E290"/>
        <bgColor indexed="64"/>
      </patternFill>
    </fill>
    <fill>
      <patternFill patternType="solid">
        <fgColor rgb="FFFFFFCC"/>
        <bgColor indexed="64"/>
      </patternFill>
    </fill>
    <fill>
      <patternFill patternType="solid">
        <fgColor rgb="FFA5A5A5"/>
      </patternFill>
    </fill>
    <fill>
      <patternFill patternType="solid">
        <fgColor theme="7" tint="0.399975585192419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double">
        <color indexed="64"/>
      </bottom>
      <diagonal/>
    </border>
    <border>
      <left/>
      <right style="double">
        <color indexed="64"/>
      </right>
      <top/>
      <bottom/>
      <diagonal/>
    </border>
    <border>
      <left/>
      <right style="double">
        <color indexed="64"/>
      </right>
      <top/>
      <bottom style="double">
        <color indexed="64"/>
      </bottom>
      <diagonal/>
    </border>
    <border>
      <left/>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top style="thin">
        <color theme="1"/>
      </top>
      <bottom style="thin">
        <color indexed="64"/>
      </bottom>
      <diagonal/>
    </border>
    <border>
      <left/>
      <right/>
      <top style="thin">
        <color theme="1"/>
      </top>
      <bottom/>
      <diagonal/>
    </border>
    <border>
      <left style="thin">
        <color indexed="64"/>
      </left>
      <right style="thin">
        <color indexed="64"/>
      </right>
      <top style="thin">
        <color theme="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3" fillId="0" borderId="0" applyFont="0" applyFill="0" applyBorder="0" applyAlignment="0" applyProtection="0"/>
    <xf numFmtId="0" fontId="9" fillId="0" borderId="0" applyNumberFormat="0" applyFill="0" applyBorder="0" applyAlignment="0" applyProtection="0"/>
    <xf numFmtId="0" fontId="16" fillId="9" borderId="17" applyNumberFormat="0" applyAlignment="0" applyProtection="0"/>
  </cellStyleXfs>
  <cellXfs count="268">
    <xf numFmtId="0" fontId="0" fillId="0" borderId="0" xfId="0"/>
    <xf numFmtId="0" fontId="2" fillId="5" borderId="0" xfId="0" applyFont="1" applyFill="1"/>
    <xf numFmtId="0" fontId="0" fillId="5" borderId="0" xfId="0" applyFill="1"/>
    <xf numFmtId="0" fontId="0" fillId="7" borderId="6" xfId="0" applyFill="1" applyBorder="1"/>
    <xf numFmtId="0" fontId="0" fillId="2" borderId="7" xfId="0" applyFill="1" applyBorder="1" applyProtection="1">
      <protection locked="0"/>
    </xf>
    <xf numFmtId="0" fontId="0" fillId="8" borderId="0" xfId="0" applyFill="1"/>
    <xf numFmtId="0" fontId="1" fillId="8" borderId="0" xfId="0" applyFont="1" applyFill="1"/>
    <xf numFmtId="0" fontId="2" fillId="5" borderId="0" xfId="0" applyFont="1" applyFill="1" applyProtection="1">
      <protection locked="0"/>
    </xf>
    <xf numFmtId="0" fontId="1" fillId="5" borderId="0" xfId="0" applyFont="1" applyFill="1" applyProtection="1">
      <protection locked="0"/>
    </xf>
    <xf numFmtId="0" fontId="15" fillId="4" borderId="5" xfId="0" applyFont="1" applyFill="1" applyBorder="1" applyAlignment="1" applyProtection="1">
      <alignment horizontal="center"/>
      <protection locked="0"/>
    </xf>
    <xf numFmtId="0" fontId="1" fillId="0" borderId="0" xfId="0" applyFont="1" applyAlignment="1" applyProtection="1">
      <alignment vertical="top" wrapText="1"/>
      <protection locked="0"/>
    </xf>
    <xf numFmtId="0" fontId="14" fillId="4" borderId="5" xfId="0" applyFont="1" applyFill="1" applyBorder="1" applyAlignment="1" applyProtection="1">
      <alignment horizontal="center"/>
      <protection locked="0"/>
    </xf>
    <xf numFmtId="0" fontId="13" fillId="0" borderId="0" xfId="0" applyFont="1" applyProtection="1">
      <protection locked="0"/>
    </xf>
    <xf numFmtId="0" fontId="14" fillId="0" borderId="0" xfId="0" applyFont="1" applyProtection="1">
      <protection locked="0"/>
    </xf>
    <xf numFmtId="0" fontId="0" fillId="8" borderId="5" xfId="0" applyFill="1" applyBorder="1" applyProtection="1">
      <protection locked="0"/>
    </xf>
    <xf numFmtId="0" fontId="5" fillId="8" borderId="5" xfId="0" applyFont="1" applyFill="1" applyBorder="1" applyProtection="1">
      <protection locked="0"/>
    </xf>
    <xf numFmtId="0" fontId="0" fillId="0" borderId="0" xfId="0" applyProtection="1">
      <protection locked="0"/>
    </xf>
    <xf numFmtId="0" fontId="0" fillId="4" borderId="5" xfId="0" applyFill="1" applyBorder="1" applyAlignment="1" applyProtection="1">
      <alignment horizontal="center"/>
      <protection locked="0"/>
    </xf>
    <xf numFmtId="0" fontId="14" fillId="8" borderId="5" xfId="0" applyFont="1" applyFill="1" applyBorder="1" applyProtection="1">
      <protection locked="0"/>
    </xf>
    <xf numFmtId="0" fontId="1" fillId="0" borderId="0" xfId="0" applyFont="1" applyAlignment="1" applyProtection="1">
      <alignment vertical="top"/>
      <protection locked="0"/>
    </xf>
    <xf numFmtId="0" fontId="10" fillId="0" borderId="0" xfId="0" applyFont="1" applyAlignment="1" applyProtection="1">
      <alignment horizontal="right"/>
      <protection locked="0"/>
    </xf>
    <xf numFmtId="0" fontId="10" fillId="0" borderId="0" xfId="0" applyFont="1" applyProtection="1">
      <protection locked="0"/>
    </xf>
    <xf numFmtId="0" fontId="5" fillId="0" borderId="0" xfId="0" applyFont="1" applyProtection="1">
      <protection locked="0"/>
    </xf>
    <xf numFmtId="0" fontId="11" fillId="0" borderId="0" xfId="0" applyFont="1" applyAlignment="1" applyProtection="1">
      <alignment horizontal="center"/>
      <protection locked="0"/>
    </xf>
    <xf numFmtId="0" fontId="1" fillId="7" borderId="4" xfId="0" applyFont="1" applyFill="1" applyBorder="1" applyProtection="1">
      <protection locked="0"/>
    </xf>
    <xf numFmtId="0" fontId="0" fillId="3" borderId="0" xfId="0" applyFill="1" applyProtection="1">
      <protection locked="0"/>
    </xf>
    <xf numFmtId="0" fontId="5" fillId="6" borderId="17" xfId="3" applyFont="1" applyFill="1" applyProtection="1">
      <protection locked="0"/>
    </xf>
    <xf numFmtId="0" fontId="0" fillId="5" borderId="0" xfId="0" applyFill="1" applyProtection="1">
      <protection locked="0"/>
    </xf>
    <xf numFmtId="0" fontId="0" fillId="5" borderId="0" xfId="0" applyFill="1" applyAlignment="1" applyProtection="1">
      <alignment horizontal="center"/>
      <protection locked="0"/>
    </xf>
    <xf numFmtId="0" fontId="10" fillId="8" borderId="5" xfId="0" applyFont="1" applyFill="1" applyBorder="1" applyProtection="1">
      <protection locked="0"/>
    </xf>
    <xf numFmtId="0" fontId="0" fillId="8" borderId="5" xfId="0" applyFill="1" applyBorder="1"/>
    <xf numFmtId="0" fontId="15" fillId="8" borderId="5" xfId="0" applyFont="1" applyFill="1" applyBorder="1" applyProtection="1">
      <protection locked="0"/>
    </xf>
    <xf numFmtId="0" fontId="0" fillId="2" borderId="1" xfId="0" applyFill="1" applyBorder="1" applyProtection="1">
      <protection locked="0"/>
    </xf>
    <xf numFmtId="0" fontId="0" fillId="7" borderId="0" xfId="0" applyFill="1"/>
    <xf numFmtId="0" fontId="0" fillId="8" borderId="5" xfId="0" applyFill="1" applyBorder="1" applyAlignment="1" applyProtection="1">
      <alignment vertical="center"/>
      <protection locked="0"/>
    </xf>
    <xf numFmtId="0" fontId="9" fillId="8" borderId="5" xfId="2" applyFill="1" applyBorder="1" applyProtection="1">
      <protection locked="0"/>
    </xf>
    <xf numFmtId="0" fontId="0" fillId="2" borderId="14" xfId="0" applyFill="1" applyBorder="1" applyProtection="1">
      <protection locked="0"/>
    </xf>
    <xf numFmtId="0" fontId="0" fillId="7" borderId="2" xfId="0" applyFill="1" applyBorder="1" applyProtection="1">
      <protection locked="0"/>
    </xf>
    <xf numFmtId="0" fontId="0" fillId="7" borderId="3" xfId="0" applyFill="1" applyBorder="1" applyProtection="1">
      <protection locked="0"/>
    </xf>
    <xf numFmtId="0" fontId="0" fillId="4" borderId="0" xfId="0" applyFill="1" applyAlignment="1" applyProtection="1">
      <alignment horizontal="center"/>
      <protection locked="0"/>
    </xf>
    <xf numFmtId="0" fontId="0" fillId="3" borderId="0" xfId="0" applyFill="1" applyAlignment="1" applyProtection="1">
      <alignment horizontal="center"/>
      <protection locked="0"/>
    </xf>
    <xf numFmtId="0" fontId="26" fillId="7" borderId="2" xfId="0" applyFont="1" applyFill="1" applyBorder="1" applyProtection="1">
      <protection locked="0"/>
    </xf>
    <xf numFmtId="0" fontId="0" fillId="0" borderId="0" xfId="0" applyAlignment="1" applyProtection="1">
      <alignment horizontal="left"/>
      <protection locked="0"/>
    </xf>
    <xf numFmtId="0" fontId="0" fillId="5" borderId="11" xfId="0" applyFill="1" applyBorder="1" applyAlignment="1" applyProtection="1">
      <alignment horizontal="center"/>
      <protection locked="0"/>
    </xf>
    <xf numFmtId="0" fontId="0" fillId="5" borderId="5" xfId="0" applyFill="1" applyBorder="1"/>
    <xf numFmtId="0" fontId="0" fillId="8" borderId="0" xfId="0" applyFill="1" applyProtection="1">
      <protection locked="0"/>
    </xf>
    <xf numFmtId="0" fontId="8" fillId="8" borderId="0" xfId="0" applyFont="1" applyFill="1" applyAlignment="1">
      <alignment wrapText="1"/>
    </xf>
    <xf numFmtId="0" fontId="33" fillId="8" borderId="0" xfId="0" applyFont="1" applyFill="1" applyAlignment="1">
      <alignment wrapText="1"/>
    </xf>
    <xf numFmtId="0" fontId="21" fillId="8" borderId="0" xfId="0" applyFont="1" applyFill="1" applyAlignment="1">
      <alignment wrapText="1"/>
    </xf>
    <xf numFmtId="0" fontId="34" fillId="8" borderId="0" xfId="0" applyFont="1" applyFill="1" applyAlignment="1">
      <alignment wrapText="1"/>
    </xf>
    <xf numFmtId="0" fontId="0" fillId="5" borderId="0" xfId="0" applyFill="1" applyAlignment="1">
      <alignment horizontal="center" vertical="center"/>
    </xf>
    <xf numFmtId="0" fontId="0" fillId="8" borderId="0" xfId="0" applyFill="1" applyAlignment="1">
      <alignment horizontal="center" vertical="center"/>
    </xf>
    <xf numFmtId="0" fontId="0" fillId="8" borderId="1" xfId="0" applyFill="1" applyBorder="1" applyAlignment="1">
      <alignment wrapText="1"/>
    </xf>
    <xf numFmtId="0" fontId="0" fillId="8" borderId="14" xfId="0" applyFill="1" applyBorder="1" applyAlignment="1">
      <alignment vertical="center" wrapText="1"/>
    </xf>
    <xf numFmtId="0" fontId="0" fillId="8" borderId="6" xfId="0" applyFill="1" applyBorder="1" applyAlignment="1">
      <alignment vertical="center" wrapText="1"/>
    </xf>
    <xf numFmtId="0" fontId="0" fillId="8" borderId="16" xfId="0" applyFill="1" applyBorder="1" applyAlignment="1">
      <alignment wrapText="1"/>
    </xf>
    <xf numFmtId="0" fontId="0" fillId="8" borderId="0" xfId="0" applyFill="1" applyAlignment="1">
      <alignment vertical="center"/>
    </xf>
    <xf numFmtId="0" fontId="0" fillId="8" borderId="0" xfId="0" applyFill="1" applyAlignment="1">
      <alignment vertical="center" wrapText="1"/>
    </xf>
    <xf numFmtId="0" fontId="0" fillId="8" borderId="5" xfId="0" applyFill="1" applyBorder="1" applyAlignment="1">
      <alignment wrapText="1"/>
    </xf>
    <xf numFmtId="0" fontId="1" fillId="8" borderId="5" xfId="0" applyFont="1" applyFill="1" applyBorder="1"/>
    <xf numFmtId="0" fontId="1" fillId="8" borderId="5" xfId="0" applyFont="1" applyFill="1" applyBorder="1" applyAlignment="1">
      <alignment horizontal="center" wrapText="1"/>
    </xf>
    <xf numFmtId="0" fontId="11" fillId="2" borderId="1" xfId="0" applyFont="1" applyFill="1" applyBorder="1"/>
    <xf numFmtId="0" fontId="11" fillId="2" borderId="1" xfId="0" applyFont="1" applyFill="1" applyBorder="1" applyAlignment="1">
      <alignment horizontal="center"/>
    </xf>
    <xf numFmtId="0" fontId="35" fillId="0" borderId="0" xfId="0" applyFont="1" applyAlignment="1" applyProtection="1">
      <alignment horizontal="center"/>
      <protection locked="0"/>
    </xf>
    <xf numFmtId="165" fontId="35" fillId="0" borderId="0" xfId="0" applyNumberFormat="1" applyFont="1" applyAlignment="1" applyProtection="1">
      <alignment horizontal="center"/>
      <protection locked="0"/>
    </xf>
    <xf numFmtId="165" fontId="35" fillId="0" borderId="0" xfId="0" applyNumberFormat="1" applyFont="1" applyAlignment="1" applyProtection="1">
      <alignment horizontal="left"/>
      <protection locked="0"/>
    </xf>
    <xf numFmtId="0" fontId="0" fillId="7" borderId="0" xfId="0" applyFill="1" applyProtection="1">
      <protection locked="0"/>
    </xf>
    <xf numFmtId="1" fontId="0" fillId="7" borderId="1" xfId="0" applyNumberFormat="1" applyFill="1" applyBorder="1"/>
    <xf numFmtId="1" fontId="11" fillId="7" borderId="1" xfId="0" applyNumberFormat="1" applyFont="1" applyFill="1" applyBorder="1"/>
    <xf numFmtId="1" fontId="15" fillId="7" borderId="1" xfId="0" applyNumberFormat="1" applyFont="1" applyFill="1" applyBorder="1"/>
    <xf numFmtId="0" fontId="11" fillId="8" borderId="5" xfId="0" applyFont="1" applyFill="1" applyBorder="1" applyAlignment="1">
      <alignment horizontal="center"/>
    </xf>
    <xf numFmtId="0" fontId="21" fillId="8" borderId="5" xfId="0" applyFont="1" applyFill="1" applyBorder="1" applyProtection="1">
      <protection locked="0"/>
    </xf>
    <xf numFmtId="0" fontId="4" fillId="4" borderId="6" xfId="0" applyFont="1" applyFill="1" applyBorder="1" applyAlignment="1" applyProtection="1">
      <alignment horizontal="center"/>
      <protection locked="0"/>
    </xf>
    <xf numFmtId="0" fontId="11" fillId="4" borderId="6" xfId="0" applyFont="1" applyFill="1" applyBorder="1" applyAlignment="1" applyProtection="1">
      <alignment horizontal="center"/>
      <protection locked="0"/>
    </xf>
    <xf numFmtId="0" fontId="1" fillId="0" borderId="0" xfId="0" applyFont="1" applyProtection="1">
      <protection locked="0"/>
    </xf>
    <xf numFmtId="0" fontId="10" fillId="4" borderId="6" xfId="0" applyFont="1" applyFill="1" applyBorder="1" applyAlignment="1" applyProtection="1">
      <alignment horizontal="center"/>
      <protection locked="0"/>
    </xf>
    <xf numFmtId="1" fontId="0" fillId="0" borderId="0" xfId="0" applyNumberFormat="1" applyProtection="1">
      <protection locked="0"/>
    </xf>
    <xf numFmtId="0" fontId="25" fillId="0" borderId="0" xfId="0" applyFont="1" applyProtection="1">
      <protection locked="0"/>
    </xf>
    <xf numFmtId="0" fontId="0" fillId="4" borderId="6" xfId="0" applyFill="1" applyBorder="1" applyAlignment="1" applyProtection="1">
      <alignment horizontal="center"/>
      <protection locked="0"/>
    </xf>
    <xf numFmtId="0" fontId="9" fillId="8" borderId="0" xfId="2" applyFill="1" applyProtection="1">
      <protection locked="0"/>
    </xf>
    <xf numFmtId="0" fontId="26" fillId="0" borderId="0" xfId="0" applyFont="1" applyProtection="1">
      <protection locked="0"/>
    </xf>
    <xf numFmtId="0" fontId="5" fillId="8" borderId="0" xfId="0" applyFont="1" applyFill="1" applyProtection="1">
      <protection locked="0"/>
    </xf>
    <xf numFmtId="0" fontId="14" fillId="8" borderId="0" xfId="0" applyFont="1" applyFill="1" applyProtection="1">
      <protection locked="0"/>
    </xf>
    <xf numFmtId="1" fontId="25" fillId="0" borderId="0" xfId="0" applyNumberFormat="1" applyFont="1" applyProtection="1">
      <protection locked="0"/>
    </xf>
    <xf numFmtId="0" fontId="25" fillId="4" borderId="6" xfId="0" applyFont="1" applyFill="1" applyBorder="1" applyAlignment="1" applyProtection="1">
      <alignment horizontal="center"/>
      <protection locked="0"/>
    </xf>
    <xf numFmtId="0" fontId="26" fillId="7" borderId="3" xfId="0" applyFont="1" applyFill="1" applyBorder="1" applyProtection="1">
      <protection locked="0"/>
    </xf>
    <xf numFmtId="0" fontId="5" fillId="3" borderId="0" xfId="0" applyFont="1" applyFill="1" applyProtection="1">
      <protection locked="0"/>
    </xf>
    <xf numFmtId="1" fontId="26" fillId="7" borderId="1" xfId="0" applyNumberFormat="1" applyFont="1" applyFill="1" applyBorder="1"/>
    <xf numFmtId="1" fontId="1" fillId="7" borderId="1" xfId="0" applyNumberFormat="1" applyFont="1" applyFill="1" applyBorder="1"/>
    <xf numFmtId="1" fontId="26" fillId="7" borderId="13" xfId="0" applyNumberFormat="1" applyFont="1" applyFill="1" applyBorder="1"/>
    <xf numFmtId="1" fontId="31" fillId="7" borderId="3" xfId="0" applyNumberFormat="1" applyFont="1" applyFill="1" applyBorder="1" applyAlignment="1">
      <alignment horizontal="center"/>
    </xf>
    <xf numFmtId="0" fontId="15" fillId="4" borderId="6" xfId="0" applyFont="1" applyFill="1" applyBorder="1" applyAlignment="1" applyProtection="1">
      <alignment horizontal="center"/>
      <protection locked="0"/>
    </xf>
    <xf numFmtId="0" fontId="1" fillId="8" borderId="0" xfId="0" applyFont="1" applyFill="1" applyProtection="1">
      <protection locked="0"/>
    </xf>
    <xf numFmtId="0" fontId="1" fillId="8" borderId="1" xfId="0" applyFont="1" applyFill="1" applyBorder="1" applyProtection="1">
      <protection locked="0"/>
    </xf>
    <xf numFmtId="0" fontId="13" fillId="8" borderId="16" xfId="0" applyFont="1" applyFill="1" applyBorder="1" applyProtection="1">
      <protection locked="0"/>
    </xf>
    <xf numFmtId="0" fontId="13" fillId="5" borderId="9" xfId="0" applyFont="1" applyFill="1" applyBorder="1" applyProtection="1">
      <protection locked="0"/>
    </xf>
    <xf numFmtId="0" fontId="13" fillId="8" borderId="1" xfId="0" applyFont="1" applyFill="1" applyBorder="1" applyProtection="1">
      <protection locked="0"/>
    </xf>
    <xf numFmtId="0" fontId="26" fillId="0" borderId="0" xfId="0" applyFont="1" applyAlignment="1" applyProtection="1">
      <alignment horizontal="right"/>
      <protection locked="0"/>
    </xf>
    <xf numFmtId="164" fontId="26" fillId="0" borderId="0" xfId="0" applyNumberFormat="1" applyFont="1" applyProtection="1">
      <protection locked="0"/>
    </xf>
    <xf numFmtId="0" fontId="13" fillId="8" borderId="0" xfId="0" applyFont="1" applyFill="1" applyProtection="1">
      <protection locked="0"/>
    </xf>
    <xf numFmtId="0" fontId="0" fillId="0" borderId="0" xfId="0" applyAlignment="1" applyProtection="1">
      <alignment wrapText="1"/>
      <protection locked="0"/>
    </xf>
    <xf numFmtId="0" fontId="0" fillId="2" borderId="1" xfId="0" applyFill="1" applyBorder="1" applyAlignment="1" applyProtection="1">
      <alignment horizontal="right" vertical="center"/>
      <protection locked="0"/>
    </xf>
    <xf numFmtId="0" fontId="0" fillId="0" borderId="18" xfId="0" applyBorder="1" applyProtection="1">
      <protection locked="0"/>
    </xf>
    <xf numFmtId="0" fontId="0" fillId="0" borderId="11" xfId="0" applyBorder="1" applyProtection="1">
      <protection locked="0"/>
    </xf>
    <xf numFmtId="0" fontId="13" fillId="8" borderId="21" xfId="0" applyFont="1" applyFill="1" applyBorder="1"/>
    <xf numFmtId="0" fontId="13" fillId="8" borderId="15" xfId="0" applyFont="1" applyFill="1" applyBorder="1"/>
    <xf numFmtId="1" fontId="31" fillId="7" borderId="1" xfId="0" applyNumberFormat="1" applyFont="1" applyFill="1" applyBorder="1"/>
    <xf numFmtId="0" fontId="0" fillId="5" borderId="6" xfId="0" applyFill="1" applyBorder="1" applyAlignment="1" applyProtection="1">
      <alignment horizontal="center"/>
      <protection locked="0"/>
    </xf>
    <xf numFmtId="0" fontId="22" fillId="8" borderId="0" xfId="0" applyFont="1" applyFill="1" applyProtection="1">
      <protection locked="0"/>
    </xf>
    <xf numFmtId="0" fontId="11" fillId="5" borderId="6" xfId="0" applyFont="1" applyFill="1" applyBorder="1" applyAlignment="1" applyProtection="1">
      <alignment horizontal="center"/>
      <protection locked="0"/>
    </xf>
    <xf numFmtId="1" fontId="31" fillId="7" borderId="16" xfId="0" applyNumberFormat="1" applyFont="1" applyFill="1" applyBorder="1"/>
    <xf numFmtId="0" fontId="26" fillId="8" borderId="1" xfId="0" applyFont="1" applyFill="1" applyBorder="1"/>
    <xf numFmtId="0" fontId="22" fillId="0" borderId="0" xfId="0" applyFont="1" applyProtection="1">
      <protection locked="0"/>
    </xf>
    <xf numFmtId="0" fontId="10" fillId="0" borderId="0" xfId="0" applyFont="1" applyAlignment="1" applyProtection="1">
      <alignment vertical="center"/>
      <protection locked="0"/>
    </xf>
    <xf numFmtId="0" fontId="23" fillId="4" borderId="6" xfId="0" applyFont="1" applyFill="1" applyBorder="1" applyAlignment="1" applyProtection="1">
      <alignment horizontal="center"/>
      <protection locked="0"/>
    </xf>
    <xf numFmtId="0" fontId="1" fillId="0" borderId="0" xfId="0" applyFont="1" applyAlignment="1" applyProtection="1">
      <alignment horizontal="right"/>
      <protection locked="0"/>
    </xf>
    <xf numFmtId="0" fontId="5" fillId="2" borderId="1" xfId="0" applyFont="1" applyFill="1" applyBorder="1" applyProtection="1">
      <protection locked="0"/>
    </xf>
    <xf numFmtId="1" fontId="24" fillId="0" borderId="0" xfId="0" applyNumberFormat="1" applyFont="1" applyProtection="1">
      <protection locked="0"/>
    </xf>
    <xf numFmtId="0" fontId="24" fillId="4" borderId="6" xfId="0" applyFont="1" applyFill="1" applyBorder="1" applyAlignment="1" applyProtection="1">
      <alignment horizontal="center"/>
      <protection locked="0"/>
    </xf>
    <xf numFmtId="1" fontId="15" fillId="0" borderId="0" xfId="0" applyNumberFormat="1" applyFont="1" applyProtection="1">
      <protection locked="0"/>
    </xf>
    <xf numFmtId="1" fontId="23" fillId="0" borderId="0" xfId="0" applyNumberFormat="1" applyFont="1" applyProtection="1">
      <protection locked="0"/>
    </xf>
    <xf numFmtId="1" fontId="26" fillId="0" borderId="0" xfId="0" applyNumberFormat="1" applyFont="1" applyProtection="1">
      <protection locked="0"/>
    </xf>
    <xf numFmtId="0" fontId="14" fillId="0" borderId="0" xfId="0" applyFont="1" applyAlignment="1" applyProtection="1">
      <alignment horizontal="left"/>
      <protection locked="0"/>
    </xf>
    <xf numFmtId="1" fontId="31" fillId="0" borderId="0" xfId="0" applyNumberFormat="1" applyFont="1" applyProtection="1">
      <protection locked="0"/>
    </xf>
    <xf numFmtId="0" fontId="5" fillId="0" borderId="0" xfId="0" applyFont="1" applyAlignment="1" applyProtection="1">
      <alignment horizontal="left"/>
      <protection locked="0"/>
    </xf>
    <xf numFmtId="165" fontId="35" fillId="3" borderId="0" xfId="0" applyNumberFormat="1" applyFont="1" applyFill="1" applyAlignment="1" applyProtection="1">
      <alignment horizontal="center"/>
      <protection locked="0"/>
    </xf>
    <xf numFmtId="0" fontId="11" fillId="10" borderId="7" xfId="0" applyFont="1" applyFill="1" applyBorder="1" applyProtection="1">
      <protection locked="0"/>
    </xf>
    <xf numFmtId="0" fontId="11" fillId="10" borderId="1" xfId="0" applyFont="1" applyFill="1" applyBorder="1" applyAlignment="1" applyProtection="1">
      <alignment horizontal="center"/>
      <protection locked="0"/>
    </xf>
    <xf numFmtId="0" fontId="0" fillId="7" borderId="5" xfId="0" applyFill="1" applyBorder="1" applyProtection="1">
      <protection locked="0"/>
    </xf>
    <xf numFmtId="0" fontId="11" fillId="10" borderId="2" xfId="0" applyFont="1" applyFill="1" applyBorder="1" applyProtection="1">
      <protection locked="0"/>
    </xf>
    <xf numFmtId="1" fontId="1" fillId="7" borderId="6" xfId="0" applyNumberFormat="1" applyFont="1" applyFill="1" applyBorder="1" applyAlignment="1">
      <alignment horizontal="center"/>
    </xf>
    <xf numFmtId="9" fontId="1" fillId="7" borderId="6" xfId="1" applyFont="1" applyFill="1" applyBorder="1" applyAlignment="1" applyProtection="1">
      <alignment horizontal="center"/>
    </xf>
    <xf numFmtId="1" fontId="11" fillId="10" borderId="19" xfId="0" applyNumberFormat="1" applyFont="1" applyFill="1" applyBorder="1" applyAlignment="1">
      <alignment horizontal="center"/>
    </xf>
    <xf numFmtId="9" fontId="11" fillId="10" borderId="20" xfId="1" applyFont="1" applyFill="1" applyBorder="1" applyProtection="1"/>
    <xf numFmtId="0" fontId="11" fillId="0" borderId="0" xfId="0" applyFont="1" applyProtection="1">
      <protection locked="0"/>
    </xf>
    <xf numFmtId="0" fontId="11" fillId="10" borderId="1" xfId="0" applyFont="1" applyFill="1" applyBorder="1" applyProtection="1">
      <protection locked="0"/>
    </xf>
    <xf numFmtId="1" fontId="1" fillId="0" borderId="0" xfId="0" applyNumberFormat="1" applyFont="1" applyAlignment="1" applyProtection="1">
      <alignment horizontal="center"/>
      <protection locked="0"/>
    </xf>
    <xf numFmtId="9" fontId="1" fillId="0" borderId="0" xfId="1" applyFont="1" applyFill="1" applyBorder="1" applyProtection="1">
      <protection locked="0"/>
    </xf>
    <xf numFmtId="1" fontId="1" fillId="0" borderId="11" xfId="0" applyNumberFormat="1" applyFont="1" applyBorder="1" applyAlignment="1" applyProtection="1">
      <alignment horizontal="center"/>
      <protection locked="0"/>
    </xf>
    <xf numFmtId="9" fontId="1" fillId="0" borderId="11" xfId="1" applyFont="1" applyFill="1" applyBorder="1" applyProtection="1">
      <protection locked="0"/>
    </xf>
    <xf numFmtId="1" fontId="1" fillId="7" borderId="14" xfId="0" applyNumberFormat="1" applyFont="1" applyFill="1" applyBorder="1" applyAlignment="1">
      <alignment horizontal="center"/>
    </xf>
    <xf numFmtId="1" fontId="0" fillId="7" borderId="10" xfId="0" applyNumberFormat="1" applyFill="1" applyBorder="1" applyAlignment="1">
      <alignment horizontal="center"/>
    </xf>
    <xf numFmtId="1" fontId="1" fillId="7" borderId="5" xfId="0" applyNumberFormat="1" applyFont="1" applyFill="1" applyBorder="1" applyAlignment="1">
      <alignment horizontal="center"/>
    </xf>
    <xf numFmtId="1" fontId="0" fillId="7" borderId="6" xfId="0" applyNumberFormat="1" applyFill="1" applyBorder="1" applyAlignment="1">
      <alignment horizontal="center"/>
    </xf>
    <xf numFmtId="1" fontId="1" fillId="7" borderId="23" xfId="0" applyNumberFormat="1" applyFont="1" applyFill="1" applyBorder="1" applyAlignment="1">
      <alignment horizontal="center"/>
    </xf>
    <xf numFmtId="1" fontId="0" fillId="7" borderId="22" xfId="0" applyNumberFormat="1" applyFill="1" applyBorder="1" applyAlignment="1">
      <alignment horizontal="center"/>
    </xf>
    <xf numFmtId="1" fontId="21" fillId="10" borderId="20" xfId="1" applyNumberFormat="1" applyFont="1" applyFill="1" applyBorder="1" applyAlignment="1" applyProtection="1">
      <alignment horizontal="center"/>
    </xf>
    <xf numFmtId="1" fontId="1" fillId="7" borderId="24" xfId="0" applyNumberFormat="1" applyFont="1" applyFill="1" applyBorder="1" applyAlignment="1">
      <alignment horizontal="center"/>
    </xf>
    <xf numFmtId="1" fontId="0" fillId="7" borderId="23" xfId="0" applyNumberFormat="1" applyFill="1" applyBorder="1" applyAlignment="1">
      <alignment horizontal="center"/>
    </xf>
    <xf numFmtId="1" fontId="11" fillId="10" borderId="20" xfId="1" applyNumberFormat="1" applyFont="1" applyFill="1" applyBorder="1" applyAlignment="1" applyProtection="1">
      <alignment horizontal="center"/>
    </xf>
    <xf numFmtId="0" fontId="0" fillId="5" borderId="5" xfId="0" applyFill="1" applyBorder="1" applyProtection="1">
      <protection locked="0"/>
    </xf>
    <xf numFmtId="1" fontId="0" fillId="5" borderId="0" xfId="0" applyNumberFormat="1" applyFill="1" applyProtection="1">
      <protection locked="0"/>
    </xf>
    <xf numFmtId="0" fontId="2" fillId="5" borderId="0" xfId="0" applyFont="1" applyFill="1" applyAlignment="1" applyProtection="1">
      <alignment horizontal="left"/>
      <protection locked="0"/>
    </xf>
    <xf numFmtId="0" fontId="0" fillId="0" borderId="5" xfId="0" applyBorder="1" applyProtection="1">
      <protection locked="0"/>
    </xf>
    <xf numFmtId="1" fontId="0" fillId="7" borderId="0" xfId="0" applyNumberFormat="1" applyFill="1" applyProtection="1">
      <protection locked="0"/>
    </xf>
    <xf numFmtId="0" fontId="4" fillId="0" borderId="0" xfId="0" applyFont="1" applyProtection="1">
      <protection locked="0"/>
    </xf>
    <xf numFmtId="0" fontId="2" fillId="0" borderId="0" xfId="0" applyFont="1" applyProtection="1">
      <protection locked="0"/>
    </xf>
    <xf numFmtId="0" fontId="0" fillId="0" borderId="0" xfId="0" applyAlignment="1" applyProtection="1">
      <alignment horizontal="center"/>
      <protection locked="0"/>
    </xf>
    <xf numFmtId="0" fontId="5" fillId="0" borderId="0" xfId="0" applyFont="1" applyAlignment="1" applyProtection="1">
      <alignment horizontal="center"/>
      <protection locked="0"/>
    </xf>
    <xf numFmtId="0" fontId="14" fillId="0" borderId="0" xfId="0" applyFont="1" applyAlignment="1" applyProtection="1">
      <alignment horizontal="center"/>
      <protection locked="0"/>
    </xf>
    <xf numFmtId="0" fontId="9" fillId="0" borderId="0" xfId="2" applyProtection="1">
      <protection locked="0"/>
    </xf>
    <xf numFmtId="0" fontId="0" fillId="3" borderId="5" xfId="0" applyFill="1" applyBorder="1" applyProtection="1">
      <protection locked="0"/>
    </xf>
    <xf numFmtId="1" fontId="0" fillId="3" borderId="0" xfId="0" applyNumberFormat="1" applyFill="1" applyProtection="1">
      <protection locked="0"/>
    </xf>
    <xf numFmtId="0" fontId="1" fillId="3" borderId="0" xfId="0" applyFont="1" applyFill="1" applyProtection="1">
      <protection locked="0"/>
    </xf>
    <xf numFmtId="0" fontId="0" fillId="3" borderId="5" xfId="0" applyFill="1" applyBorder="1" applyAlignment="1" applyProtection="1">
      <alignment horizontal="center"/>
      <protection locked="0"/>
    </xf>
    <xf numFmtId="1" fontId="10" fillId="7" borderId="0" xfId="0" applyNumberFormat="1" applyFont="1" applyFill="1"/>
    <xf numFmtId="1" fontId="0" fillId="7" borderId="0" xfId="0" applyNumberFormat="1" applyFill="1"/>
    <xf numFmtId="1" fontId="1" fillId="7" borderId="0" xfId="0" applyNumberFormat="1" applyFont="1" applyFill="1"/>
    <xf numFmtId="1" fontId="24" fillId="7" borderId="0" xfId="0" applyNumberFormat="1" applyFont="1" applyFill="1" applyAlignment="1">
      <alignment horizontal="right"/>
    </xf>
    <xf numFmtId="1" fontId="0" fillId="7" borderId="0" xfId="0" quotePrefix="1" applyNumberFormat="1" applyFill="1" applyAlignment="1">
      <alignment horizontal="right"/>
    </xf>
    <xf numFmtId="0" fontId="0" fillId="8" borderId="5" xfId="0" applyFill="1" applyBorder="1" applyAlignment="1">
      <alignment vertical="center"/>
    </xf>
    <xf numFmtId="0" fontId="0" fillId="0" borderId="0" xfId="0" applyAlignment="1" applyProtection="1">
      <alignment horizontal="right"/>
      <protection locked="0"/>
    </xf>
    <xf numFmtId="0" fontId="0" fillId="2" borderId="25" xfId="0" applyFill="1" applyBorder="1" applyProtection="1">
      <protection locked="0"/>
    </xf>
    <xf numFmtId="0" fontId="0" fillId="6" borderId="27" xfId="0" applyFill="1" applyBorder="1" applyProtection="1">
      <protection locked="0"/>
    </xf>
    <xf numFmtId="0" fontId="0" fillId="0" borderId="26" xfId="0" applyBorder="1" applyAlignment="1" applyProtection="1">
      <alignment horizontal="right"/>
      <protection locked="0"/>
    </xf>
    <xf numFmtId="1" fontId="0" fillId="7" borderId="1" xfId="0" applyNumberFormat="1" applyFill="1" applyBorder="1" applyAlignment="1">
      <alignment horizontal="right"/>
    </xf>
    <xf numFmtId="1" fontId="25" fillId="0" borderId="5" xfId="0" applyNumberFormat="1" applyFont="1" applyBorder="1" applyProtection="1">
      <protection locked="0"/>
    </xf>
    <xf numFmtId="0" fontId="0" fillId="8" borderId="14" xfId="0" applyFill="1" applyBorder="1" applyAlignment="1">
      <alignment wrapText="1"/>
    </xf>
    <xf numFmtId="0" fontId="36" fillId="8" borderId="0" xfId="0" applyFont="1" applyFill="1" applyAlignment="1">
      <alignment wrapText="1"/>
    </xf>
    <xf numFmtId="0" fontId="9" fillId="8" borderId="0" xfId="2" applyFill="1" applyAlignment="1">
      <alignment wrapText="1"/>
    </xf>
    <xf numFmtId="0" fontId="1" fillId="8" borderId="28" xfId="0" applyFont="1" applyFill="1" applyBorder="1"/>
    <xf numFmtId="0" fontId="0" fillId="8" borderId="28" xfId="0" applyFill="1" applyBorder="1" applyAlignment="1">
      <alignment horizontal="center" vertical="center"/>
    </xf>
    <xf numFmtId="0" fontId="0" fillId="8" borderId="29" xfId="0" applyFill="1" applyBorder="1" applyAlignment="1">
      <alignment vertical="center" wrapText="1"/>
    </xf>
    <xf numFmtId="0" fontId="0" fillId="8" borderId="28" xfId="0" applyFill="1" applyBorder="1"/>
    <xf numFmtId="0" fontId="0" fillId="8" borderId="30" xfId="0" applyFill="1" applyBorder="1" applyAlignment="1">
      <alignment wrapText="1"/>
    </xf>
    <xf numFmtId="0" fontId="0" fillId="8" borderId="29" xfId="0" applyFill="1" applyBorder="1" applyAlignment="1">
      <alignment wrapText="1"/>
    </xf>
    <xf numFmtId="0" fontId="0" fillId="8" borderId="29" xfId="0" applyFill="1" applyBorder="1" applyAlignment="1">
      <alignment vertical="center"/>
    </xf>
    <xf numFmtId="0" fontId="1" fillId="8" borderId="31" xfId="0" applyFont="1" applyFill="1" applyBorder="1"/>
    <xf numFmtId="0" fontId="0" fillId="8" borderId="31" xfId="0" applyFill="1" applyBorder="1" applyAlignment="1">
      <alignment horizontal="center" vertical="center"/>
    </xf>
    <xf numFmtId="0" fontId="0" fillId="8" borderId="32" xfId="0" applyFill="1" applyBorder="1" applyAlignment="1">
      <alignment vertical="center" wrapText="1"/>
    </xf>
    <xf numFmtId="0" fontId="0" fillId="8" borderId="31" xfId="0" applyFill="1" applyBorder="1"/>
    <xf numFmtId="0" fontId="0" fillId="8" borderId="31" xfId="0" applyFill="1" applyBorder="1" applyAlignment="1">
      <alignment vertical="center"/>
    </xf>
    <xf numFmtId="0" fontId="5" fillId="8" borderId="0" xfId="0" applyFont="1" applyFill="1" applyAlignment="1">
      <alignment vertical="center"/>
    </xf>
    <xf numFmtId="0" fontId="5" fillId="3" borderId="5" xfId="0" applyFont="1" applyFill="1" applyBorder="1" applyAlignment="1" applyProtection="1">
      <alignment horizontal="center"/>
      <protection locked="0"/>
    </xf>
    <xf numFmtId="1" fontId="31" fillId="7" borderId="3" xfId="0" applyNumberFormat="1" applyFont="1" applyFill="1" applyBorder="1"/>
    <xf numFmtId="0" fontId="0" fillId="7" borderId="0" xfId="0" applyFill="1" applyAlignment="1">
      <alignment vertical="top"/>
    </xf>
    <xf numFmtId="0" fontId="5" fillId="7" borderId="0" xfId="0" applyFont="1" applyFill="1"/>
    <xf numFmtId="0" fontId="11" fillId="10" borderId="2" xfId="0" applyFont="1" applyFill="1" applyBorder="1"/>
    <xf numFmtId="0" fontId="1" fillId="0" borderId="0" xfId="0" applyFont="1" applyAlignment="1" applyProtection="1">
      <alignment horizontal="left"/>
      <protection locked="0"/>
    </xf>
    <xf numFmtId="0" fontId="38" fillId="5" borderId="0" xfId="0" applyFont="1" applyFill="1"/>
    <xf numFmtId="0" fontId="0" fillId="7" borderId="1" xfId="0" applyFill="1" applyBorder="1" applyProtection="1">
      <protection locked="0"/>
    </xf>
    <xf numFmtId="0" fontId="10" fillId="0" borderId="11" xfId="0" applyFont="1" applyBorder="1" applyProtection="1">
      <protection locked="0"/>
    </xf>
    <xf numFmtId="0" fontId="39" fillId="8" borderId="0" xfId="0" applyFont="1" applyFill="1" applyAlignment="1">
      <alignment vertical="top"/>
    </xf>
    <xf numFmtId="0" fontId="7" fillId="8" borderId="0" xfId="0" applyFont="1" applyFill="1"/>
    <xf numFmtId="0" fontId="0" fillId="8" borderId="7" xfId="0" applyFill="1" applyBorder="1"/>
    <xf numFmtId="0" fontId="0" fillId="8" borderId="8" xfId="0" applyFill="1" applyBorder="1"/>
    <xf numFmtId="0" fontId="0" fillId="8" borderId="13" xfId="0" applyFill="1" applyBorder="1"/>
    <xf numFmtId="0" fontId="0" fillId="0" borderId="10" xfId="0" applyBorder="1"/>
    <xf numFmtId="0" fontId="0" fillId="0" borderId="9" xfId="0" applyBorder="1"/>
    <xf numFmtId="0" fontId="0" fillId="0" borderId="11" xfId="0" applyBorder="1"/>
    <xf numFmtId="0" fontId="0" fillId="0" borderId="12" xfId="0" applyBorder="1"/>
    <xf numFmtId="164" fontId="0" fillId="7" borderId="0" xfId="0" applyNumberFormat="1" applyFill="1"/>
    <xf numFmtId="2" fontId="0" fillId="0" borderId="0" xfId="0" applyNumberFormat="1" applyProtection="1">
      <protection locked="0"/>
    </xf>
    <xf numFmtId="164" fontId="1" fillId="7" borderId="0" xfId="0" applyNumberFormat="1" applyFont="1" applyFill="1"/>
    <xf numFmtId="0" fontId="10" fillId="0" borderId="0" xfId="0" applyFont="1" applyAlignment="1" applyProtection="1">
      <alignment horizontal="left"/>
      <protection locked="0"/>
    </xf>
    <xf numFmtId="0" fontId="5" fillId="8" borderId="0" xfId="2" applyFont="1" applyFill="1" applyProtection="1">
      <protection locked="0"/>
    </xf>
    <xf numFmtId="0" fontId="1" fillId="8" borderId="1" xfId="0" applyFont="1" applyFill="1" applyBorder="1"/>
    <xf numFmtId="0" fontId="0" fillId="8" borderId="11" xfId="0" applyFill="1" applyBorder="1"/>
    <xf numFmtId="0" fontId="0" fillId="8" borderId="11" xfId="0" applyFill="1" applyBorder="1" applyAlignment="1">
      <alignment horizontal="center" vertical="center"/>
    </xf>
    <xf numFmtId="0" fontId="0" fillId="8" borderId="11" xfId="0" applyFill="1" applyBorder="1" applyAlignment="1">
      <alignment vertical="center"/>
    </xf>
    <xf numFmtId="14" fontId="0" fillId="0" borderId="5" xfId="0" applyNumberFormat="1" applyBorder="1"/>
    <xf numFmtId="1" fontId="11" fillId="7" borderId="3" xfId="0" applyNumberFormat="1" applyFont="1" applyFill="1" applyBorder="1" applyAlignment="1">
      <alignment horizontal="center"/>
    </xf>
    <xf numFmtId="1" fontId="15" fillId="7" borderId="1" xfId="0" applyNumberFormat="1" applyFont="1" applyFill="1" applyBorder="1" applyAlignment="1">
      <alignment horizontal="right"/>
    </xf>
    <xf numFmtId="0" fontId="0" fillId="7" borderId="5" xfId="0" applyFill="1" applyBorder="1" applyAlignment="1" applyProtection="1">
      <alignment wrapText="1"/>
      <protection locked="0"/>
    </xf>
    <xf numFmtId="9" fontId="1" fillId="7" borderId="6" xfId="1" applyFont="1" applyFill="1" applyBorder="1" applyAlignment="1" applyProtection="1">
      <alignment horizontal="center" vertical="center"/>
    </xf>
    <xf numFmtId="1" fontId="1" fillId="7" borderId="6" xfId="0" applyNumberFormat="1" applyFont="1" applyFill="1" applyBorder="1" applyAlignment="1">
      <alignment horizontal="center" vertical="center"/>
    </xf>
    <xf numFmtId="0" fontId="4" fillId="8" borderId="0" xfId="0" applyFont="1" applyFill="1"/>
    <xf numFmtId="0" fontId="40" fillId="8" borderId="0" xfId="0" applyFont="1" applyFill="1" applyAlignment="1">
      <alignment vertical="top"/>
    </xf>
    <xf numFmtId="0" fontId="4" fillId="0" borderId="0" xfId="0" applyFont="1"/>
    <xf numFmtId="0" fontId="30" fillId="8" borderId="0" xfId="0" applyFont="1" applyFill="1" applyProtection="1">
      <protection locked="0"/>
    </xf>
    <xf numFmtId="0" fontId="5" fillId="8" borderId="0" xfId="0" applyFont="1" applyFill="1" applyAlignment="1" applyProtection="1">
      <alignment vertical="center"/>
      <protection locked="0"/>
    </xf>
    <xf numFmtId="0" fontId="0" fillId="0" borderId="0" xfId="0" applyAlignment="1">
      <alignment wrapText="1"/>
    </xf>
    <xf numFmtId="0" fontId="0" fillId="0" borderId="5" xfId="0" applyBorder="1" applyAlignment="1">
      <alignment vertical="center"/>
    </xf>
    <xf numFmtId="0" fontId="39" fillId="8" borderId="0" xfId="0" applyFont="1" applyFill="1" applyProtection="1">
      <protection locked="0"/>
    </xf>
    <xf numFmtId="49" fontId="0" fillId="0" borderId="0" xfId="0" applyNumberFormat="1"/>
    <xf numFmtId="164" fontId="1" fillId="8" borderId="1" xfId="0" applyNumberFormat="1" applyFont="1" applyFill="1" applyBorder="1"/>
    <xf numFmtId="0" fontId="0" fillId="0" borderId="18" xfId="0" applyBorder="1"/>
    <xf numFmtId="49" fontId="0" fillId="3" borderId="0" xfId="0" applyNumberFormat="1" applyFill="1" applyProtection="1">
      <protection locked="0"/>
    </xf>
    <xf numFmtId="164" fontId="0" fillId="2" borderId="1" xfId="0" applyNumberFormat="1" applyFill="1" applyBorder="1" applyProtection="1">
      <protection locked="0"/>
    </xf>
    <xf numFmtId="164" fontId="0" fillId="0" borderId="0" xfId="0" applyNumberFormat="1"/>
    <xf numFmtId="2" fontId="0" fillId="2" borderId="1" xfId="0" applyNumberFormat="1" applyFill="1" applyBorder="1" applyProtection="1">
      <protection locked="0"/>
    </xf>
    <xf numFmtId="1" fontId="0" fillId="0" borderId="0" xfId="0" applyNumberFormat="1"/>
    <xf numFmtId="0" fontId="0" fillId="0" borderId="33" xfId="0" applyBorder="1" applyProtection="1">
      <protection locked="0"/>
    </xf>
    <xf numFmtId="0" fontId="0" fillId="0" borderId="34" xfId="0" applyBorder="1" applyProtection="1">
      <protection locked="0"/>
    </xf>
    <xf numFmtId="0" fontId="0" fillId="0" borderId="35" xfId="0" applyBorder="1" applyProtection="1">
      <protection locked="0"/>
    </xf>
    <xf numFmtId="0" fontId="0" fillId="0" borderId="36" xfId="0" applyBorder="1" applyProtection="1">
      <protection locked="0"/>
    </xf>
    <xf numFmtId="0" fontId="0" fillId="0" borderId="37" xfId="0" applyBorder="1" applyProtection="1">
      <protection locked="0"/>
    </xf>
    <xf numFmtId="1" fontId="31" fillId="7" borderId="0" xfId="0" applyNumberFormat="1" applyFont="1" applyFill="1" applyAlignment="1" applyProtection="1">
      <alignment horizontal="center"/>
      <protection locked="0"/>
    </xf>
    <xf numFmtId="1" fontId="1" fillId="7" borderId="0" xfId="0" applyNumberFormat="1" applyFont="1" applyFill="1" applyAlignment="1" applyProtection="1">
      <alignment horizontal="center"/>
      <protection locked="0"/>
    </xf>
    <xf numFmtId="0" fontId="11" fillId="10" borderId="13" xfId="0" applyFont="1" applyFill="1" applyBorder="1" applyProtection="1">
      <protection locked="0"/>
    </xf>
    <xf numFmtId="0" fontId="0" fillId="7" borderId="10" xfId="0" applyFill="1" applyBorder="1" applyAlignment="1" applyProtection="1">
      <alignment vertical="top"/>
      <protection locked="0"/>
    </xf>
    <xf numFmtId="0" fontId="5" fillId="7" borderId="10" xfId="0" applyFont="1" applyFill="1" applyBorder="1" applyProtection="1">
      <protection locked="0"/>
    </xf>
    <xf numFmtId="1" fontId="0" fillId="7" borderId="14" xfId="0" applyNumberFormat="1" applyFill="1" applyBorder="1" applyAlignment="1" applyProtection="1">
      <alignment horizontal="center"/>
      <protection locked="0"/>
    </xf>
    <xf numFmtId="1" fontId="11" fillId="10" borderId="19" xfId="0" applyNumberFormat="1" applyFont="1" applyFill="1" applyBorder="1" applyAlignment="1" applyProtection="1">
      <alignment horizontal="center"/>
      <protection locked="0"/>
    </xf>
    <xf numFmtId="1" fontId="11" fillId="10" borderId="20" xfId="1" applyNumberFormat="1" applyFont="1" applyFill="1" applyBorder="1" applyAlignment="1" applyProtection="1">
      <alignment horizontal="center"/>
      <protection locked="0"/>
    </xf>
    <xf numFmtId="1" fontId="0" fillId="7" borderId="23" xfId="0" applyNumberFormat="1" applyFill="1" applyBorder="1" applyAlignment="1" applyProtection="1">
      <alignment horizontal="center"/>
      <protection locked="0"/>
    </xf>
    <xf numFmtId="0" fontId="0" fillId="7" borderId="0" xfId="0" applyFill="1" applyAlignment="1" applyProtection="1">
      <alignment vertical="top"/>
      <protection locked="0"/>
    </xf>
    <xf numFmtId="0" fontId="5" fillId="7" borderId="0" xfId="0" applyFont="1" applyFill="1" applyProtection="1">
      <protection locked="0"/>
    </xf>
    <xf numFmtId="1" fontId="1" fillId="7" borderId="14" xfId="0" applyNumberFormat="1" applyFont="1" applyFill="1" applyBorder="1" applyAlignment="1" applyProtection="1">
      <alignment horizontal="center"/>
      <protection locked="0"/>
    </xf>
    <xf numFmtId="1" fontId="1" fillId="7" borderId="5" xfId="0" applyNumberFormat="1" applyFont="1" applyFill="1" applyBorder="1" applyAlignment="1" applyProtection="1">
      <alignment horizontal="center"/>
      <protection locked="0"/>
    </xf>
    <xf numFmtId="1" fontId="0" fillId="7" borderId="10" xfId="0" applyNumberFormat="1" applyFill="1" applyBorder="1" applyAlignment="1" applyProtection="1">
      <alignment horizontal="center"/>
      <protection locked="0"/>
    </xf>
    <xf numFmtId="1" fontId="0" fillId="7" borderId="6" xfId="0" applyNumberFormat="1" applyFill="1" applyBorder="1" applyAlignment="1" applyProtection="1">
      <alignment horizontal="center"/>
      <protection locked="0"/>
    </xf>
    <xf numFmtId="0" fontId="0" fillId="8" borderId="7" xfId="0" applyFill="1" applyBorder="1" applyAlignment="1" applyProtection="1">
      <alignment wrapText="1"/>
      <protection locked="0"/>
    </xf>
    <xf numFmtId="0" fontId="0" fillId="8" borderId="8" xfId="0" applyFill="1" applyBorder="1" applyAlignment="1" applyProtection="1">
      <alignment wrapText="1"/>
      <protection locked="0"/>
    </xf>
    <xf numFmtId="0" fontId="0" fillId="8" borderId="13" xfId="0" applyFill="1" applyBorder="1" applyAlignment="1" applyProtection="1">
      <alignment wrapText="1"/>
      <protection locked="0"/>
    </xf>
    <xf numFmtId="165" fontId="5" fillId="8" borderId="7" xfId="0" applyNumberFormat="1" applyFont="1" applyFill="1" applyBorder="1" applyAlignment="1" applyProtection="1">
      <alignment horizontal="center" wrapText="1"/>
      <protection locked="0"/>
    </xf>
    <xf numFmtId="165" fontId="5" fillId="8" borderId="8" xfId="0" applyNumberFormat="1" applyFont="1" applyFill="1" applyBorder="1" applyAlignment="1" applyProtection="1">
      <alignment horizontal="center" wrapText="1"/>
      <protection locked="0"/>
    </xf>
    <xf numFmtId="165" fontId="5" fillId="8" borderId="13" xfId="0" applyNumberFormat="1" applyFont="1" applyFill="1" applyBorder="1" applyAlignment="1" applyProtection="1">
      <alignment horizontal="center" wrapText="1"/>
      <protection locked="0"/>
    </xf>
  </cellXfs>
  <cellStyles count="4">
    <cellStyle name="Hyperlinkki" xfId="2" builtinId="8"/>
    <cellStyle name="Normaali" xfId="0" builtinId="0"/>
    <cellStyle name="Prosenttia" xfId="1" builtinId="5"/>
    <cellStyle name="Tarkistussolu" xfId="3" builtinId="23"/>
  </cellStyles>
  <dxfs count="0"/>
  <tableStyles count="0" defaultTableStyle="TableStyleMedium2" defaultPivotStyle="PivotStyleLight16"/>
  <colors>
    <mruColors>
      <color rgb="FFFFFFCC"/>
      <color rgb="FFF8E290"/>
      <color rgb="FFFF9933"/>
      <color rgb="FF854019"/>
      <color rgb="FFE39453"/>
      <color rgb="FFBC642E"/>
      <color rgb="FFF1A069"/>
      <color rgb="FF5D3217"/>
      <color rgb="FFFF9966"/>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Kokonaispäästöt prosenttiosuuksina</a:t>
            </a:r>
          </a:p>
        </c:rich>
      </c:tx>
      <c:layout>
        <c:manualLayout>
          <c:xMode val="edge"/>
          <c:yMode val="edge"/>
          <c:x val="0.14682633420822394"/>
          <c:y val="1.47058823529411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manualLayout>
          <c:layoutTarget val="inner"/>
          <c:xMode val="edge"/>
          <c:yMode val="edge"/>
          <c:x val="0.14905949256342957"/>
          <c:y val="0.18181372549019609"/>
          <c:w val="0.44974999999999993"/>
          <c:h val="0.79367647058823521"/>
        </c:manualLayout>
      </c:layout>
      <c:pieChart>
        <c:varyColors val="1"/>
        <c:ser>
          <c:idx val="0"/>
          <c:order val="0"/>
          <c:dPt>
            <c:idx val="0"/>
            <c:bubble3D val="0"/>
            <c:spPr>
              <a:solidFill>
                <a:schemeClr val="accent2">
                  <a:tint val="54000"/>
                </a:schemeClr>
              </a:solidFill>
              <a:ln w="19050">
                <a:solidFill>
                  <a:schemeClr val="lt1"/>
                </a:solidFill>
              </a:ln>
              <a:effectLst/>
            </c:spPr>
            <c:extLst>
              <c:ext xmlns:c16="http://schemas.microsoft.com/office/drawing/2014/chart" uri="{C3380CC4-5D6E-409C-BE32-E72D297353CC}">
                <c16:uniqueId val="{00000001-5E89-40DE-B971-8671A3A26680}"/>
              </c:ext>
            </c:extLst>
          </c:dPt>
          <c:dPt>
            <c:idx val="1"/>
            <c:bubble3D val="0"/>
            <c:spPr>
              <a:solidFill>
                <a:srgbClr val="F1A069"/>
              </a:solidFill>
              <a:ln w="19050">
                <a:solidFill>
                  <a:schemeClr val="lt1"/>
                </a:solidFill>
              </a:ln>
              <a:effectLst/>
            </c:spPr>
            <c:extLst>
              <c:ext xmlns:c16="http://schemas.microsoft.com/office/drawing/2014/chart" uri="{C3380CC4-5D6E-409C-BE32-E72D297353CC}">
                <c16:uniqueId val="{00000003-5E89-40DE-B971-8671A3A26680}"/>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5E89-40DE-B971-8671A3A26680}"/>
              </c:ext>
            </c:extLst>
          </c:dPt>
          <c:dPt>
            <c:idx val="3"/>
            <c:bubble3D val="0"/>
            <c:spPr>
              <a:solidFill>
                <a:srgbClr val="854019"/>
              </a:solidFill>
              <a:ln w="19050">
                <a:solidFill>
                  <a:schemeClr val="lt1"/>
                </a:solidFill>
              </a:ln>
              <a:effectLst/>
            </c:spPr>
            <c:extLst>
              <c:ext xmlns:c16="http://schemas.microsoft.com/office/drawing/2014/chart" uri="{C3380CC4-5D6E-409C-BE32-E72D297353CC}">
                <c16:uniqueId val="{00000007-5E89-40DE-B971-8671A3A26680}"/>
              </c:ext>
            </c:extLst>
          </c:dPt>
          <c:dPt>
            <c:idx val="4"/>
            <c:bubble3D val="0"/>
            <c:spPr>
              <a:solidFill>
                <a:srgbClr val="5D3217"/>
              </a:solidFill>
              <a:ln w="19050">
                <a:solidFill>
                  <a:schemeClr val="lt1"/>
                </a:solidFill>
              </a:ln>
              <a:effectLst/>
            </c:spPr>
            <c:extLst>
              <c:ext xmlns:c16="http://schemas.microsoft.com/office/drawing/2014/chart" uri="{C3380CC4-5D6E-409C-BE32-E72D297353CC}">
                <c16:uniqueId val="{00000009-5E89-40DE-B971-8671A3A26680}"/>
              </c:ext>
            </c:extLst>
          </c:dPt>
          <c:dLbls>
            <c:dLbl>
              <c:idx val="4"/>
              <c:layout>
                <c:manualLayout>
                  <c:x val="1.5066271119005154E-2"/>
                  <c:y val="3.164972817159631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89-40DE-B971-8671A3A2668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i-FI"/>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Hiilijalanjälki!$B$7:$B$11</c:f>
              <c:strCache>
                <c:ptCount val="5"/>
                <c:pt idx="0">
                  <c:v>Energia</c:v>
                </c:pt>
                <c:pt idx="1">
                  <c:v>Matkustaminen</c:v>
                </c:pt>
                <c:pt idx="2">
                  <c:v>Jäte</c:v>
                </c:pt>
                <c:pt idx="3">
                  <c:v>Hankinnat</c:v>
                </c:pt>
                <c:pt idx="4">
                  <c:v>Palvelut ja tapahtumat</c:v>
                </c:pt>
              </c:strCache>
            </c:strRef>
          </c:cat>
          <c:val>
            <c:numRef>
              <c:f>Hiilijalanjälki!$C$7:$C$11</c:f>
              <c:numCache>
                <c:formatCode>0</c:formatCode>
                <c:ptCount val="5"/>
                <c:pt idx="0">
                  <c:v>15445.57647</c:v>
                </c:pt>
                <c:pt idx="1">
                  <c:v>26208.721299999997</c:v>
                </c:pt>
                <c:pt idx="2">
                  <c:v>392.52309090909085</c:v>
                </c:pt>
                <c:pt idx="3">
                  <c:v>1627.45</c:v>
                </c:pt>
                <c:pt idx="4">
                  <c:v>5668.6177792998478</c:v>
                </c:pt>
              </c:numCache>
            </c:numRef>
          </c:val>
          <c:extLst>
            <c:ext xmlns:c16="http://schemas.microsoft.com/office/drawing/2014/chart" uri="{C3380CC4-5D6E-409C-BE32-E72D297353CC}">
              <c16:uniqueId val="{0000000C-5E89-40DE-B971-8671A3A26680}"/>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3256482264204303"/>
          <c:y val="0.21082914774928899"/>
          <c:w val="0.25135154245646918"/>
          <c:h val="0.625170530563902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w="9525" cap="flat" cmpd="sng" algn="ctr">
      <a:solidFill>
        <a:schemeClr val="accent2">
          <a:lumMod val="50000"/>
        </a:schemeClr>
      </a:solidFill>
      <a:round/>
    </a:ln>
    <a:effectLst/>
  </c:spPr>
  <c:txPr>
    <a:bodyPr/>
    <a:lstStyle/>
    <a:p>
      <a:pPr>
        <a:defRPr/>
      </a:pPr>
      <a:endParaRPr lang="fi-FI"/>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clustered"/>
        <c:varyColors val="0"/>
        <c:ser>
          <c:idx val="0"/>
          <c:order val="0"/>
          <c:tx>
            <c:strRef>
              <c:f>Hiilijalanjälki!$C$6</c:f>
              <c:strCache>
                <c:ptCount val="1"/>
                <c:pt idx="0">
                  <c:v>Hiilijalanjälki (kg CO2ekv. vuodessa)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Hiilijalanjälki!$B$7:$B$11</c:f>
              <c:strCache>
                <c:ptCount val="5"/>
                <c:pt idx="0">
                  <c:v>Energia</c:v>
                </c:pt>
                <c:pt idx="1">
                  <c:v>Matkustaminen</c:v>
                </c:pt>
                <c:pt idx="2">
                  <c:v>Jäte</c:v>
                </c:pt>
                <c:pt idx="3">
                  <c:v>Hankinnat</c:v>
                </c:pt>
                <c:pt idx="4">
                  <c:v>Palvelut ja tapahtumat</c:v>
                </c:pt>
              </c:strCache>
            </c:strRef>
          </c:cat>
          <c:val>
            <c:numRef>
              <c:f>Hiilijalanjälki!$C$7:$C$11</c:f>
              <c:numCache>
                <c:formatCode>0</c:formatCode>
                <c:ptCount val="5"/>
                <c:pt idx="0">
                  <c:v>15445.57647</c:v>
                </c:pt>
                <c:pt idx="1">
                  <c:v>26208.721299999997</c:v>
                </c:pt>
                <c:pt idx="2">
                  <c:v>392.52309090909085</c:v>
                </c:pt>
                <c:pt idx="3">
                  <c:v>1627.45</c:v>
                </c:pt>
                <c:pt idx="4">
                  <c:v>5668.6177792998478</c:v>
                </c:pt>
              </c:numCache>
            </c:numRef>
          </c:val>
          <c:extLst>
            <c:ext xmlns:c16="http://schemas.microsoft.com/office/drawing/2014/chart" uri="{C3380CC4-5D6E-409C-BE32-E72D297353CC}">
              <c16:uniqueId val="{00000000-A5BC-4023-8C6E-7623DF1CC482}"/>
            </c:ext>
          </c:extLst>
        </c:ser>
        <c:dLbls>
          <c:showLegendKey val="0"/>
          <c:showVal val="0"/>
          <c:showCatName val="0"/>
          <c:showSerName val="0"/>
          <c:showPercent val="0"/>
          <c:showBubbleSize val="0"/>
        </c:dLbls>
        <c:gapWidth val="219"/>
        <c:overlap val="-27"/>
        <c:axId val="287645696"/>
        <c:axId val="287646088"/>
      </c:barChart>
      <c:catAx>
        <c:axId val="287645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crossAx val="287646088"/>
        <c:crosses val="autoZero"/>
        <c:auto val="1"/>
        <c:lblAlgn val="ctr"/>
        <c:lblOffset val="100"/>
        <c:noMultiLvlLbl val="0"/>
      </c:catAx>
      <c:valAx>
        <c:axId val="2876460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7645696"/>
        <c:crosses val="autoZero"/>
        <c:crossBetween val="between"/>
      </c:valAx>
      <c:spPr>
        <a:noFill/>
        <a:ln>
          <a:noFill/>
        </a:ln>
        <a:effectLst/>
      </c:spPr>
    </c:plotArea>
    <c:plotVisOnly val="1"/>
    <c:dispBlanksAs val="gap"/>
    <c:showDLblsOverMax val="0"/>
  </c:chart>
  <c:spPr>
    <a:gradFill flip="none" rotWithShape="1">
      <a:gsLst>
        <a:gs pos="0">
          <a:schemeClr val="bg1"/>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w="9525" cap="flat" cmpd="sng" algn="ctr">
      <a:solidFill>
        <a:schemeClr val="accent2">
          <a:lumMod val="50000"/>
        </a:schemeClr>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clustered"/>
        <c:varyColors val="0"/>
        <c:ser>
          <c:idx val="0"/>
          <c:order val="0"/>
          <c:tx>
            <c:v>Energia</c:v>
          </c:tx>
          <c:spPr>
            <a:solidFill>
              <a:srgbClr val="FF9933"/>
            </a:solidFill>
            <a:ln>
              <a:noFill/>
            </a:ln>
            <a:effectLst/>
          </c:spPr>
          <c:invertIfNegative val="0"/>
          <c:cat>
            <c:strRef>
              <c:f>'Eritellyt tulokset'!$A$9:$A$13</c:f>
              <c:strCache>
                <c:ptCount val="5"/>
                <c:pt idx="0">
                  <c:v>Ostosähkö</c:v>
                </c:pt>
                <c:pt idx="1">
                  <c:v>Kaukolämpö</c:v>
                </c:pt>
                <c:pt idx="2">
                  <c:v>Kaukojäähdytys</c:v>
                </c:pt>
                <c:pt idx="3">
                  <c:v>Sähkölämmitys ja -jäähdytys</c:v>
                </c:pt>
                <c:pt idx="4">
                  <c:v> Palvelimet</c:v>
                </c:pt>
              </c:strCache>
            </c:strRef>
          </c:cat>
          <c:val>
            <c:numRef>
              <c:f>'Eritellyt tulokset'!$B$9:$B$13</c:f>
              <c:numCache>
                <c:formatCode>0</c:formatCode>
                <c:ptCount val="5"/>
                <c:pt idx="0">
                  <c:v>3857.6775899999998</c:v>
                </c:pt>
                <c:pt idx="1">
                  <c:v>11587.898880000001</c:v>
                </c:pt>
                <c:pt idx="2">
                  <c:v>0</c:v>
                </c:pt>
                <c:pt idx="3">
                  <c:v>0</c:v>
                </c:pt>
                <c:pt idx="4">
                  <c:v>0</c:v>
                </c:pt>
              </c:numCache>
            </c:numRef>
          </c:val>
          <c:extLst>
            <c:ext xmlns:c16="http://schemas.microsoft.com/office/drawing/2014/chart" uri="{C3380CC4-5D6E-409C-BE32-E72D297353CC}">
              <c16:uniqueId val="{00000000-3DE5-4DE8-B0F7-C45B92BB3BFF}"/>
            </c:ext>
          </c:extLst>
        </c:ser>
        <c:dLbls>
          <c:showLegendKey val="0"/>
          <c:showVal val="0"/>
          <c:showCatName val="0"/>
          <c:showSerName val="0"/>
          <c:showPercent val="0"/>
          <c:showBubbleSize val="0"/>
        </c:dLbls>
        <c:gapWidth val="219"/>
        <c:overlap val="-27"/>
        <c:axId val="287646872"/>
        <c:axId val="287647264"/>
      </c:barChart>
      <c:catAx>
        <c:axId val="287646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7647264"/>
        <c:crosses val="autoZero"/>
        <c:auto val="1"/>
        <c:lblAlgn val="ctr"/>
        <c:lblOffset val="100"/>
        <c:noMultiLvlLbl val="0"/>
      </c:catAx>
      <c:valAx>
        <c:axId val="287647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7646872"/>
        <c:crosses val="autoZero"/>
        <c:crossBetween val="between"/>
      </c:valAx>
      <c:spPr>
        <a:noFill/>
        <a:ln>
          <a:noFill/>
        </a:ln>
        <a:effectLst/>
      </c:spPr>
    </c:plotArea>
    <c:plotVisOnly val="1"/>
    <c:dispBlanksAs val="gap"/>
    <c:showDLblsOverMax val="0"/>
  </c:chart>
  <c:spPr>
    <a:solidFill>
      <a:srgbClr val="FFFFCC"/>
    </a:solidFill>
    <a:ln w="9525" cap="flat" cmpd="sng" algn="ctr">
      <a:solidFill>
        <a:srgbClr val="854019"/>
      </a:solidFill>
      <a:round/>
    </a:ln>
    <a:effectLst/>
  </c:spPr>
  <c:txPr>
    <a:bodyPr/>
    <a:lstStyle/>
    <a:p>
      <a:pPr>
        <a:defRPr/>
      </a:pPr>
      <a:endParaRPr lang="fi-F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manualLayout>
          <c:layoutTarget val="inner"/>
          <c:xMode val="edge"/>
          <c:yMode val="edge"/>
          <c:x val="7.7789015972812486E-2"/>
          <c:y val="0.17413139102754388"/>
          <c:w val="0.89494446540125683"/>
          <c:h val="0.51224741700956822"/>
        </c:manualLayout>
      </c:layout>
      <c:barChart>
        <c:barDir val="col"/>
        <c:grouping val="clustered"/>
        <c:varyColors val="0"/>
        <c:ser>
          <c:idx val="0"/>
          <c:order val="0"/>
          <c:tx>
            <c:v>Matkustaminen</c:v>
          </c:tx>
          <c:spPr>
            <a:solidFill>
              <a:srgbClr val="FF9933"/>
            </a:solidFill>
            <a:ln>
              <a:noFill/>
            </a:ln>
            <a:effectLst/>
          </c:spPr>
          <c:invertIfNegative val="0"/>
          <c:cat>
            <c:strRef>
              <c:f>'Eritellyt tulokset'!$A$22:$A$27</c:f>
              <c:strCache>
                <c:ptCount val="6"/>
                <c:pt idx="0">
                  <c:v>Lennot</c:v>
                </c:pt>
                <c:pt idx="1">
                  <c:v>Henkilöautoliikenne</c:v>
                </c:pt>
                <c:pt idx="2">
                  <c:v>Joukkoliikenne</c:v>
                </c:pt>
                <c:pt idx="3">
                  <c:v>Vuokrabussi</c:v>
                </c:pt>
                <c:pt idx="4">
                  <c:v>Laivaliikenne</c:v>
                </c:pt>
                <c:pt idx="5">
                  <c:v>Hotelliyöpymiset</c:v>
                </c:pt>
              </c:strCache>
            </c:strRef>
          </c:cat>
          <c:val>
            <c:numRef>
              <c:f>'Eritellyt tulokset'!$B$22:$B$27</c:f>
              <c:numCache>
                <c:formatCode>0</c:formatCode>
                <c:ptCount val="6"/>
                <c:pt idx="0">
                  <c:v>4599.0339999999997</c:v>
                </c:pt>
                <c:pt idx="1">
                  <c:v>6402.4961000000003</c:v>
                </c:pt>
                <c:pt idx="2">
                  <c:v>1207.1912</c:v>
                </c:pt>
                <c:pt idx="3">
                  <c:v>0</c:v>
                </c:pt>
                <c:pt idx="4">
                  <c:v>0</c:v>
                </c:pt>
                <c:pt idx="5">
                  <c:v>14000</c:v>
                </c:pt>
              </c:numCache>
            </c:numRef>
          </c:val>
          <c:extLst>
            <c:ext xmlns:c16="http://schemas.microsoft.com/office/drawing/2014/chart" uri="{C3380CC4-5D6E-409C-BE32-E72D297353CC}">
              <c16:uniqueId val="{00000000-AC90-4DF4-AA72-1255C43A9638}"/>
            </c:ext>
          </c:extLst>
        </c:ser>
        <c:dLbls>
          <c:showLegendKey val="0"/>
          <c:showVal val="0"/>
          <c:showCatName val="0"/>
          <c:showSerName val="0"/>
          <c:showPercent val="0"/>
          <c:showBubbleSize val="0"/>
        </c:dLbls>
        <c:gapWidth val="219"/>
        <c:overlap val="-27"/>
        <c:axId val="287648048"/>
        <c:axId val="287648440"/>
      </c:barChart>
      <c:catAx>
        <c:axId val="28764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7648440"/>
        <c:crosses val="autoZero"/>
        <c:auto val="1"/>
        <c:lblAlgn val="ctr"/>
        <c:lblOffset val="100"/>
        <c:noMultiLvlLbl val="0"/>
      </c:catAx>
      <c:valAx>
        <c:axId val="287648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7648048"/>
        <c:crosses val="autoZero"/>
        <c:crossBetween val="between"/>
      </c:valAx>
      <c:spPr>
        <a:noFill/>
        <a:ln>
          <a:noFill/>
        </a:ln>
        <a:effectLst/>
      </c:spPr>
    </c:plotArea>
    <c:plotVisOnly val="1"/>
    <c:dispBlanksAs val="gap"/>
    <c:showDLblsOverMax val="0"/>
  </c:chart>
  <c:spPr>
    <a:solidFill>
      <a:srgbClr val="FFFFCC"/>
    </a:solidFill>
    <a:ln w="9525" cap="flat" cmpd="sng" algn="ctr">
      <a:solidFill>
        <a:srgbClr val="854019"/>
      </a:solidFill>
      <a:round/>
    </a:ln>
    <a:effectLst/>
  </c:spPr>
  <c:txPr>
    <a:bodyPr/>
    <a:lstStyle/>
    <a:p>
      <a:pPr>
        <a:defRPr/>
      </a:pPr>
      <a:endParaRPr lang="fi-FI"/>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manualLayout>
          <c:layoutTarget val="inner"/>
          <c:xMode val="edge"/>
          <c:yMode val="edge"/>
          <c:x val="7.7789015972812486E-2"/>
          <c:y val="0.17413139102754388"/>
          <c:w val="0.89494446540125683"/>
          <c:h val="0.65309243536562955"/>
        </c:manualLayout>
      </c:layout>
      <c:barChart>
        <c:barDir val="col"/>
        <c:grouping val="clustered"/>
        <c:varyColors val="0"/>
        <c:ser>
          <c:idx val="0"/>
          <c:order val="0"/>
          <c:tx>
            <c:strRef>
              <c:f>'Eritellyt tulokset'!$A$54</c:f>
              <c:strCache>
                <c:ptCount val="1"/>
                <c:pt idx="0">
                  <c:v>Palvelut ja tapahtumat + hankinnat</c:v>
                </c:pt>
              </c:strCache>
            </c:strRef>
          </c:tx>
          <c:spPr>
            <a:solidFill>
              <a:srgbClr val="FF9933"/>
            </a:solidFill>
            <a:ln>
              <a:noFill/>
            </a:ln>
            <a:effectLst/>
          </c:spPr>
          <c:invertIfNegative val="0"/>
          <c:cat>
            <c:strRef>
              <c:f>'Eritellyt tulokset'!$A$57:$A$62</c:f>
              <c:strCache>
                <c:ptCount val="6"/>
                <c:pt idx="0">
                  <c:v>Tapahtumatilan käyttö</c:v>
                </c:pt>
                <c:pt idx="1">
                  <c:v>Postituspalvelut</c:v>
                </c:pt>
                <c:pt idx="2">
                  <c:v>Muut palvelut</c:v>
                </c:pt>
                <c:pt idx="3">
                  <c:v>Ruoka ja juoma</c:v>
                </c:pt>
                <c:pt idx="4">
                  <c:v>Tarjotut tuotteet</c:v>
                </c:pt>
                <c:pt idx="5">
                  <c:v>Hankinnat</c:v>
                </c:pt>
              </c:strCache>
            </c:strRef>
          </c:cat>
          <c:val>
            <c:numRef>
              <c:f>'Eritellyt tulokset'!$B$57:$B$62</c:f>
              <c:numCache>
                <c:formatCode>0</c:formatCode>
                <c:ptCount val="6"/>
                <c:pt idx="0">
                  <c:v>16.909779299847759</c:v>
                </c:pt>
                <c:pt idx="1">
                  <c:v>893.28</c:v>
                </c:pt>
                <c:pt idx="2">
                  <c:v>3205.3980000000001</c:v>
                </c:pt>
                <c:pt idx="3">
                  <c:v>1550.5400000000002</c:v>
                </c:pt>
                <c:pt idx="4">
                  <c:v>2.4899999999999998</c:v>
                </c:pt>
                <c:pt idx="5">
                  <c:v>1627.45</c:v>
                </c:pt>
              </c:numCache>
            </c:numRef>
          </c:val>
          <c:extLst>
            <c:ext xmlns:c16="http://schemas.microsoft.com/office/drawing/2014/chart" uri="{C3380CC4-5D6E-409C-BE32-E72D297353CC}">
              <c16:uniqueId val="{00000000-0539-4B6E-88F2-DC5444AAD721}"/>
            </c:ext>
          </c:extLst>
        </c:ser>
        <c:dLbls>
          <c:showLegendKey val="0"/>
          <c:showVal val="0"/>
          <c:showCatName val="0"/>
          <c:showSerName val="0"/>
          <c:showPercent val="0"/>
          <c:showBubbleSize val="0"/>
        </c:dLbls>
        <c:gapWidth val="219"/>
        <c:overlap val="-27"/>
        <c:axId val="288299792"/>
        <c:axId val="288300184"/>
      </c:barChart>
      <c:catAx>
        <c:axId val="28829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8300184"/>
        <c:crosses val="autoZero"/>
        <c:auto val="1"/>
        <c:lblAlgn val="ctr"/>
        <c:lblOffset val="100"/>
        <c:noMultiLvlLbl val="0"/>
      </c:catAx>
      <c:valAx>
        <c:axId val="2883001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8299792"/>
        <c:crosses val="autoZero"/>
        <c:crossBetween val="between"/>
      </c:valAx>
      <c:spPr>
        <a:noFill/>
        <a:ln>
          <a:noFill/>
        </a:ln>
        <a:effectLst/>
      </c:spPr>
    </c:plotArea>
    <c:plotVisOnly val="1"/>
    <c:dispBlanksAs val="gap"/>
    <c:showDLblsOverMax val="0"/>
  </c:chart>
  <c:spPr>
    <a:solidFill>
      <a:srgbClr val="FFFFCC"/>
    </a:solidFill>
    <a:ln w="9525" cap="flat" cmpd="sng" algn="ctr">
      <a:solidFill>
        <a:srgbClr val="854019"/>
      </a:solidFill>
      <a:round/>
    </a:ln>
    <a:effectLst/>
  </c:spPr>
  <c:txPr>
    <a:bodyPr/>
    <a:lstStyle/>
    <a:p>
      <a:pPr>
        <a:defRPr/>
      </a:pPr>
      <a:endParaRPr lang="fi-FI"/>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manualLayout>
          <c:layoutTarget val="inner"/>
          <c:xMode val="edge"/>
          <c:yMode val="edge"/>
          <c:x val="7.7789015972812486E-2"/>
          <c:y val="0.17413139102754388"/>
          <c:w val="0.89494446540125683"/>
          <c:h val="0.51224741700956822"/>
        </c:manualLayout>
      </c:layout>
      <c:barChart>
        <c:barDir val="col"/>
        <c:grouping val="clustered"/>
        <c:varyColors val="0"/>
        <c:ser>
          <c:idx val="0"/>
          <c:order val="0"/>
          <c:tx>
            <c:v>Jäte</c:v>
          </c:tx>
          <c:spPr>
            <a:solidFill>
              <a:srgbClr val="FF9933"/>
            </a:solidFill>
            <a:ln>
              <a:noFill/>
            </a:ln>
            <a:effectLst/>
          </c:spPr>
          <c:invertIfNegative val="0"/>
          <c:cat>
            <c:strRef>
              <c:f>'Eritellyt tulokset'!$A$38:$A$48</c:f>
              <c:strCache>
                <c:ptCount val="11"/>
                <c:pt idx="0">
                  <c:v>Sekajäte</c:v>
                </c:pt>
                <c:pt idx="1">
                  <c:v>Biojäte</c:v>
                </c:pt>
                <c:pt idx="2">
                  <c:v>Energiajäte</c:v>
                </c:pt>
                <c:pt idx="3">
                  <c:v>Kartonki ja pahvi</c:v>
                </c:pt>
                <c:pt idx="4">
                  <c:v>Lasi</c:v>
                </c:pt>
                <c:pt idx="5">
                  <c:v>Metalli</c:v>
                </c:pt>
                <c:pt idx="6">
                  <c:v>Muovi</c:v>
                </c:pt>
                <c:pt idx="7">
                  <c:v>Paperi</c:v>
                </c:pt>
                <c:pt idx="8">
                  <c:v>Sähkölaitteet (kierrätykseen)</c:v>
                </c:pt>
                <c:pt idx="9">
                  <c:v>Vaarallinen jäte</c:v>
                </c:pt>
                <c:pt idx="10">
                  <c:v>Muu jäte</c:v>
                </c:pt>
              </c:strCache>
            </c:strRef>
          </c:cat>
          <c:val>
            <c:numRef>
              <c:f>'Eritellyt tulokset'!$B$38:$B$48</c:f>
              <c:numCache>
                <c:formatCode>0</c:formatCode>
                <c:ptCount val="11"/>
                <c:pt idx="0">
                  <c:v>94.463999999999984</c:v>
                </c:pt>
                <c:pt idx="1">
                  <c:v>14.4</c:v>
                </c:pt>
                <c:pt idx="2">
                  <c:v>0</c:v>
                </c:pt>
                <c:pt idx="3">
                  <c:v>5.25</c:v>
                </c:pt>
                <c:pt idx="4">
                  <c:v>0</c:v>
                </c:pt>
                <c:pt idx="5">
                  <c:v>0</c:v>
                </c:pt>
                <c:pt idx="6">
                  <c:v>0</c:v>
                </c:pt>
                <c:pt idx="7">
                  <c:v>278.40909090909088</c:v>
                </c:pt>
                <c:pt idx="8">
                  <c:v>0</c:v>
                </c:pt>
                <c:pt idx="9">
                  <c:v>0</c:v>
                </c:pt>
                <c:pt idx="10">
                  <c:v>0</c:v>
                </c:pt>
              </c:numCache>
            </c:numRef>
          </c:val>
          <c:extLst>
            <c:ext xmlns:c16="http://schemas.microsoft.com/office/drawing/2014/chart" uri="{C3380CC4-5D6E-409C-BE32-E72D297353CC}">
              <c16:uniqueId val="{00000000-313A-425D-938F-367B2A09C9D8}"/>
            </c:ext>
          </c:extLst>
        </c:ser>
        <c:dLbls>
          <c:showLegendKey val="0"/>
          <c:showVal val="0"/>
          <c:showCatName val="0"/>
          <c:showSerName val="0"/>
          <c:showPercent val="0"/>
          <c:showBubbleSize val="0"/>
        </c:dLbls>
        <c:gapWidth val="219"/>
        <c:overlap val="-27"/>
        <c:axId val="288300968"/>
        <c:axId val="288301360"/>
      </c:barChart>
      <c:catAx>
        <c:axId val="288300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8301360"/>
        <c:crosses val="autoZero"/>
        <c:auto val="1"/>
        <c:lblAlgn val="ctr"/>
        <c:lblOffset val="100"/>
        <c:noMultiLvlLbl val="0"/>
      </c:catAx>
      <c:valAx>
        <c:axId val="288301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88300968"/>
        <c:crosses val="autoZero"/>
        <c:crossBetween val="between"/>
      </c:valAx>
      <c:spPr>
        <a:noFill/>
        <a:ln>
          <a:noFill/>
        </a:ln>
        <a:effectLst/>
      </c:spPr>
    </c:plotArea>
    <c:plotVisOnly val="1"/>
    <c:dispBlanksAs val="gap"/>
    <c:showDLblsOverMax val="0"/>
  </c:chart>
  <c:spPr>
    <a:solidFill>
      <a:srgbClr val="FFFFCC"/>
    </a:solidFill>
    <a:ln w="9525" cap="flat" cmpd="sng" algn="ctr">
      <a:solidFill>
        <a:srgbClr val="854019"/>
      </a:solid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colors2.xml><?xml version="1.0" encoding="utf-8"?>
<cs:colorStyle xmlns:cs="http://schemas.microsoft.com/office/drawing/2012/chartStyle" xmlns:a="http://schemas.openxmlformats.org/drawingml/2006/main" meth="withinLinearReversed" id="22">
  <a:schemeClr val="accent2"/>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577850</xdr:colOff>
      <xdr:row>56</xdr:row>
      <xdr:rowOff>101600</xdr:rowOff>
    </xdr:from>
    <xdr:to>
      <xdr:col>3</xdr:col>
      <xdr:colOff>704850</xdr:colOff>
      <xdr:row>67</xdr:row>
      <xdr:rowOff>76200</xdr:rowOff>
    </xdr:to>
    <xdr:pic>
      <xdr:nvPicPr>
        <xdr:cNvPr id="5" name="Picture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850" y="11423650"/>
          <a:ext cx="5143500" cy="2000250"/>
        </a:xfrm>
        <a:prstGeom prst="rect">
          <a:avLst/>
        </a:prstGeom>
        <a:noFill/>
        <a:ln w="6350">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424814</xdr:colOff>
      <xdr:row>15</xdr:row>
      <xdr:rowOff>36195</xdr:rowOff>
    </xdr:from>
    <xdr:to>
      <xdr:col>4</xdr:col>
      <xdr:colOff>133349</xdr:colOff>
      <xdr:row>30</xdr:row>
      <xdr:rowOff>9525</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381000</xdr:colOff>
      <xdr:row>4</xdr:row>
      <xdr:rowOff>28574</xdr:rowOff>
    </xdr:from>
    <xdr:to>
      <xdr:col>13</xdr:col>
      <xdr:colOff>204787</xdr:colOff>
      <xdr:row>19</xdr:row>
      <xdr:rowOff>28575</xdr:rowOff>
    </xdr:to>
    <xdr:graphicFrame macro="">
      <xdr:nvGraphicFramePr>
        <xdr:cNvPr id="3" name="Kaavio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171451</xdr:colOff>
      <xdr:row>21</xdr:row>
      <xdr:rowOff>76199</xdr:rowOff>
    </xdr:from>
    <xdr:to>
      <xdr:col>12</xdr:col>
      <xdr:colOff>447676</xdr:colOff>
      <xdr:row>32</xdr:row>
      <xdr:rowOff>95250</xdr:rowOff>
    </xdr:to>
    <xdr:sp macro="" textlink="">
      <xdr:nvSpPr>
        <xdr:cNvPr id="5" name="Pilvi 4">
          <a:extLst>
            <a:ext uri="{FF2B5EF4-FFF2-40B4-BE49-F238E27FC236}">
              <a16:creationId xmlns:a16="http://schemas.microsoft.com/office/drawing/2014/main" id="{00000000-0008-0000-0600-000005000000}"/>
            </a:ext>
          </a:extLst>
        </xdr:cNvPr>
        <xdr:cNvSpPr/>
      </xdr:nvSpPr>
      <xdr:spPr>
        <a:xfrm>
          <a:off x="6362701" y="4248149"/>
          <a:ext cx="3933825" cy="2114551"/>
        </a:xfrm>
        <a:prstGeom prst="cloud">
          <a:avLst/>
        </a:prstGeom>
        <a:solidFill>
          <a:srgbClr val="FFFFCC"/>
        </a:solidFill>
        <a:ln w="38100">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a:p>
          <a:pPr algn="l"/>
          <a:r>
            <a:rPr lang="fi-FI" sz="1200" b="1">
              <a:solidFill>
                <a:schemeClr val="accent2">
                  <a:lumMod val="50000"/>
                </a:schemeClr>
              </a:solidFill>
            </a:rPr>
            <a:t>Aloita ilmastoteot sieltä, missä vaikutus on suurin ja missä se on helpointa. Kompensoi päästöjä, joiden vähentäminen muutoin on vaikeaa.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xdr:colOff>
      <xdr:row>2</xdr:row>
      <xdr:rowOff>142874</xdr:rowOff>
    </xdr:from>
    <xdr:to>
      <xdr:col>12</xdr:col>
      <xdr:colOff>123825</xdr:colOff>
      <xdr:row>16</xdr:row>
      <xdr:rowOff>0</xdr:rowOff>
    </xdr:to>
    <xdr:graphicFrame macro="">
      <xdr:nvGraphicFramePr>
        <xdr:cNvPr id="6" name="Kaavio 5">
          <a:extLst>
            <a:ext uri="{FF2B5EF4-FFF2-40B4-BE49-F238E27FC236}">
              <a16:creationId xmlns:a16="http://schemas.microsoft.com/office/drawing/2014/main" id="{00000000-0008-0000-07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466723</xdr:colOff>
      <xdr:row>17</xdr:row>
      <xdr:rowOff>161924</xdr:rowOff>
    </xdr:from>
    <xdr:to>
      <xdr:col>12</xdr:col>
      <xdr:colOff>247650</xdr:colOff>
      <xdr:row>32</xdr:row>
      <xdr:rowOff>114300</xdr:rowOff>
    </xdr:to>
    <xdr:graphicFrame macro="">
      <xdr:nvGraphicFramePr>
        <xdr:cNvPr id="9" name="Kaavio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152400</xdr:colOff>
      <xdr:row>52</xdr:row>
      <xdr:rowOff>133351</xdr:rowOff>
    </xdr:from>
    <xdr:to>
      <xdr:col>12</xdr:col>
      <xdr:colOff>466725</xdr:colOff>
      <xdr:row>67</xdr:row>
      <xdr:rowOff>85726</xdr:rowOff>
    </xdr:to>
    <xdr:graphicFrame macro="">
      <xdr:nvGraphicFramePr>
        <xdr:cNvPr id="12" name="Kaavio 11">
          <a:extLst>
            <a:ext uri="{FF2B5EF4-FFF2-40B4-BE49-F238E27FC236}">
              <a16:creationId xmlns:a16="http://schemas.microsoft.com/office/drawing/2014/main" id="{00000000-0008-0000-0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476250</xdr:colOff>
      <xdr:row>34</xdr:row>
      <xdr:rowOff>0</xdr:rowOff>
    </xdr:from>
    <xdr:to>
      <xdr:col>12</xdr:col>
      <xdr:colOff>257177</xdr:colOff>
      <xdr:row>48</xdr:row>
      <xdr:rowOff>161926</xdr:rowOff>
    </xdr:to>
    <xdr:graphicFrame macro="">
      <xdr:nvGraphicFramePr>
        <xdr:cNvPr id="15" name="Kaavio 14">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logs.helsinki.fi/hiilifiks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motiva.fi/files/14691/Erillistuotannon_paikkakunnat_2018.pdf" TargetMode="External"/><Relationship Id="rId1" Type="http://schemas.openxmlformats.org/officeDocument/2006/relationships/hyperlink" Target="https://www.motiva.fi/files/14692/Yhteistuotantopaikkakunnat_2018.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ilmastolaskuri.fi/fi/traffic-home-workplace" TargetMode="External"/><Relationship Id="rId1" Type="http://schemas.openxmlformats.org/officeDocument/2006/relationships/hyperlink" Target="https://www.icao.int/environmental-protection/CarbonOffset/Pages/default.aspx"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www.petrajatevertailu.fi/hsy/jatemaarien_laskentaohje.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ilmastolaskuri.fi/fi/calculation-basis?country=2&amp;year=10746"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helda.helsinki.fi/bitstream/handle/10138/37037/SY_14_2011.pdf?sequence=3&amp;isAllowed=y" TargetMode="External"/><Relationship Id="rId2" Type="http://schemas.openxmlformats.org/officeDocument/2006/relationships/hyperlink" Target="http://www.ilmase.fi/site/wp-content/uploads/2013/07/Ruoan-ilmastovaikutukset.pdf" TargetMode="External"/><Relationship Id="rId1" Type="http://schemas.openxmlformats.org/officeDocument/2006/relationships/hyperlink" Target="https://www.hel.fi/static/ymk/julkaisut/julkaisu-01-14.pdf"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0"/>
  <sheetViews>
    <sheetView tabSelected="1" topLeftCell="A3" workbookViewId="0">
      <selection activeCell="A5" sqref="A5"/>
    </sheetView>
  </sheetViews>
  <sheetFormatPr defaultColWidth="8.81640625" defaultRowHeight="14.5" x14ac:dyDescent="0.35"/>
  <cols>
    <col min="1" max="1" width="109.54296875" style="5" customWidth="1"/>
    <col min="2" max="2" width="20.453125" style="30" customWidth="1"/>
    <col min="3" max="3" width="51.453125" style="30" customWidth="1"/>
    <col min="4" max="16384" width="8.81640625" style="5"/>
  </cols>
  <sheetData>
    <row r="1" spans="1:3" ht="21" x14ac:dyDescent="0.5">
      <c r="A1" s="47" t="s">
        <v>0</v>
      </c>
      <c r="B1" s="59" t="s">
        <v>1</v>
      </c>
    </row>
    <row r="2" spans="1:3" ht="18" customHeight="1" x14ac:dyDescent="0.35">
      <c r="A2" s="202" t="str">
        <f>Muutosloki!A5</f>
        <v>Päivitetty 3/2019</v>
      </c>
      <c r="B2" s="61" t="s">
        <v>2</v>
      </c>
      <c r="C2" s="30" t="s">
        <v>3</v>
      </c>
    </row>
    <row r="3" spans="1:3" ht="30" x14ac:dyDescent="0.45">
      <c r="A3" s="46" t="s">
        <v>4</v>
      </c>
      <c r="B3" s="60" t="s">
        <v>5</v>
      </c>
    </row>
    <row r="4" spans="1:3" ht="31" x14ac:dyDescent="0.35">
      <c r="A4" s="48" t="s">
        <v>6</v>
      </c>
      <c r="B4" s="62">
        <v>2019</v>
      </c>
      <c r="C4" s="170" t="s">
        <v>7</v>
      </c>
    </row>
    <row r="5" spans="1:3" ht="62" x14ac:dyDescent="0.35">
      <c r="A5" s="48" t="s">
        <v>8</v>
      </c>
      <c r="B5" s="70"/>
    </row>
    <row r="7" spans="1:3" ht="15.5" x14ac:dyDescent="0.35">
      <c r="A7" s="49" t="s">
        <v>9</v>
      </c>
    </row>
    <row r="8" spans="1:3" ht="155" x14ac:dyDescent="0.35">
      <c r="A8" s="48" t="s">
        <v>10</v>
      </c>
    </row>
    <row r="9" spans="1:3" ht="15.5" x14ac:dyDescent="0.35">
      <c r="A9" s="48" t="s">
        <v>11</v>
      </c>
    </row>
    <row r="11" spans="1:3" ht="15.5" x14ac:dyDescent="0.35">
      <c r="A11" s="48"/>
    </row>
    <row r="12" spans="1:3" ht="15.5" x14ac:dyDescent="0.35">
      <c r="A12" s="48"/>
    </row>
    <row r="13" spans="1:3" ht="29" x14ac:dyDescent="0.35">
      <c r="A13" s="178" t="s">
        <v>12</v>
      </c>
    </row>
    <row r="14" spans="1:3" x14ac:dyDescent="0.35">
      <c r="A14" s="179" t="s">
        <v>13</v>
      </c>
    </row>
    <row r="15" spans="1:3" ht="29" x14ac:dyDescent="0.35">
      <c r="A15" s="178" t="s">
        <v>14</v>
      </c>
    </row>
    <row r="16" spans="1:3" x14ac:dyDescent="0.35">
      <c r="A16" s="178"/>
    </row>
    <row r="17" spans="1:1" x14ac:dyDescent="0.35">
      <c r="A17" s="178" t="s">
        <v>15</v>
      </c>
    </row>
    <row r="18" spans="1:1" x14ac:dyDescent="0.35">
      <c r="A18" s="178"/>
    </row>
    <row r="19" spans="1:1" x14ac:dyDescent="0.35">
      <c r="A19" s="179"/>
    </row>
    <row r="20" spans="1:1" x14ac:dyDescent="0.35">
      <c r="A20" s="6"/>
    </row>
  </sheetData>
  <hyperlinks>
    <hyperlink ref="A14" r:id="rId1" xr:uid="{00000000-0004-0000-0000-000000000000}"/>
  </hyperlinks>
  <pageMargins left="0.7" right="0.7"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58"/>
  <sheetViews>
    <sheetView workbookViewId="0">
      <pane ySplit="1" topLeftCell="A115" activePane="bottomLeft" state="frozen"/>
      <selection pane="bottomLeft" activeCell="G85" sqref="G85"/>
    </sheetView>
  </sheetViews>
  <sheetFormatPr defaultColWidth="9.1796875" defaultRowHeight="14.5" x14ac:dyDescent="0.35"/>
  <cols>
    <col min="1" max="1" width="3.453125" style="153" customWidth="1"/>
    <col min="2" max="2" width="41.54296875" style="16" customWidth="1"/>
    <col min="3" max="3" width="17.54296875" style="154" customWidth="1"/>
    <col min="4" max="4" width="9.1796875" style="16"/>
    <col min="5" max="5" width="8.1796875" style="157" customWidth="1"/>
    <col min="6" max="16384" width="9.1796875" style="16"/>
  </cols>
  <sheetData>
    <row r="1" spans="1:10" s="27" customFormat="1" ht="18.5" x14ac:dyDescent="0.45">
      <c r="A1" s="150"/>
      <c r="B1" s="7" t="s">
        <v>321</v>
      </c>
      <c r="C1" s="151"/>
      <c r="E1" s="152" t="s">
        <v>322</v>
      </c>
    </row>
    <row r="2" spans="1:10" x14ac:dyDescent="0.35">
      <c r="E2" s="198" t="s">
        <v>323</v>
      </c>
      <c r="J2" s="155"/>
    </row>
    <row r="3" spans="1:10" ht="18.5" x14ac:dyDescent="0.45">
      <c r="B3" s="156" t="s">
        <v>16</v>
      </c>
      <c r="C3" s="165" t="s">
        <v>324</v>
      </c>
    </row>
    <row r="4" spans="1:10" x14ac:dyDescent="0.35">
      <c r="B4" s="10" t="s">
        <v>20</v>
      </c>
      <c r="C4" s="166"/>
    </row>
    <row r="5" spans="1:10" x14ac:dyDescent="0.35">
      <c r="B5" s="16" t="s">
        <v>28</v>
      </c>
      <c r="C5" s="166">
        <v>281</v>
      </c>
      <c r="E5" s="158">
        <v>1</v>
      </c>
      <c r="F5" s="16" t="s">
        <v>325</v>
      </c>
    </row>
    <row r="6" spans="1:10" x14ac:dyDescent="0.35">
      <c r="B6" s="16" t="s">
        <v>326</v>
      </c>
      <c r="C6" s="166">
        <v>0</v>
      </c>
      <c r="E6" s="158">
        <v>2</v>
      </c>
      <c r="F6" s="22" t="s">
        <v>327</v>
      </c>
    </row>
    <row r="7" spans="1:10" x14ac:dyDescent="0.35">
      <c r="B7" s="16" t="s">
        <v>328</v>
      </c>
      <c r="C7" s="166">
        <f>Energia!B9*1.2</f>
        <v>0</v>
      </c>
      <c r="F7" s="159"/>
      <c r="G7" s="22"/>
    </row>
    <row r="8" spans="1:10" x14ac:dyDescent="0.35">
      <c r="B8" s="16" t="s">
        <v>329</v>
      </c>
      <c r="C8" s="166">
        <f>((100-Energia!B11)/100)*C5</f>
        <v>281</v>
      </c>
      <c r="E8" s="158">
        <v>1</v>
      </c>
      <c r="F8" s="16" t="s">
        <v>325</v>
      </c>
    </row>
    <row r="9" spans="1:10" x14ac:dyDescent="0.35">
      <c r="C9" s="166"/>
    </row>
    <row r="10" spans="1:10" x14ac:dyDescent="0.35">
      <c r="C10" s="166"/>
    </row>
    <row r="11" spans="1:10" x14ac:dyDescent="0.35">
      <c r="B11" s="10" t="s">
        <v>37</v>
      </c>
      <c r="C11" s="166"/>
    </row>
    <row r="12" spans="1:10" x14ac:dyDescent="0.35">
      <c r="B12" s="16" t="s">
        <v>41</v>
      </c>
      <c r="C12" s="166">
        <f>188*1.2</f>
        <v>225.6</v>
      </c>
      <c r="E12" s="157">
        <v>3</v>
      </c>
      <c r="F12" s="16" t="s">
        <v>330</v>
      </c>
    </row>
    <row r="13" spans="1:10" x14ac:dyDescent="0.35">
      <c r="B13" s="16" t="s">
        <v>331</v>
      </c>
      <c r="C13" s="166">
        <f>Energia!B18*1.2</f>
        <v>0</v>
      </c>
    </row>
    <row r="14" spans="1:10" x14ac:dyDescent="0.35">
      <c r="B14" s="22" t="s">
        <v>332</v>
      </c>
      <c r="C14" s="166">
        <v>0</v>
      </c>
    </row>
    <row r="15" spans="1:10" x14ac:dyDescent="0.35">
      <c r="B15" s="16" t="s">
        <v>333</v>
      </c>
      <c r="C15" s="166">
        <f>Energia!B19*1.2</f>
        <v>0</v>
      </c>
    </row>
    <row r="16" spans="1:10" x14ac:dyDescent="0.35">
      <c r="B16" s="22" t="s">
        <v>334</v>
      </c>
      <c r="C16" s="166">
        <f>((100-Energia!B21)/100)*C12</f>
        <v>225.6</v>
      </c>
    </row>
    <row r="17" spans="2:6" x14ac:dyDescent="0.35">
      <c r="B17" s="22"/>
      <c r="C17" s="166"/>
    </row>
    <row r="18" spans="2:6" x14ac:dyDescent="0.35">
      <c r="B18" s="10" t="s">
        <v>52</v>
      </c>
      <c r="C18" s="166"/>
    </row>
    <row r="19" spans="2:6" x14ac:dyDescent="0.35">
      <c r="B19" s="16" t="s">
        <v>41</v>
      </c>
      <c r="C19" s="166">
        <f>61*1.2</f>
        <v>73.2</v>
      </c>
      <c r="E19" s="157">
        <v>4</v>
      </c>
      <c r="F19" s="16" t="s">
        <v>335</v>
      </c>
    </row>
    <row r="20" spans="2:6" x14ac:dyDescent="0.35">
      <c r="C20" s="166"/>
    </row>
    <row r="21" spans="2:6" x14ac:dyDescent="0.35">
      <c r="C21" s="166"/>
    </row>
    <row r="22" spans="2:6" x14ac:dyDescent="0.35">
      <c r="B22" s="19" t="s">
        <v>56</v>
      </c>
      <c r="C22" s="166"/>
    </row>
    <row r="23" spans="2:6" x14ac:dyDescent="0.35">
      <c r="B23" s="16" t="s">
        <v>281</v>
      </c>
      <c r="C23" s="166">
        <v>400</v>
      </c>
      <c r="E23" s="157">
        <v>5</v>
      </c>
      <c r="F23" t="s">
        <v>336</v>
      </c>
    </row>
    <row r="24" spans="2:6" x14ac:dyDescent="0.35">
      <c r="B24" s="16" t="s">
        <v>283</v>
      </c>
      <c r="C24" s="166">
        <v>281</v>
      </c>
      <c r="E24" s="158">
        <v>1</v>
      </c>
      <c r="F24" s="16" t="s">
        <v>325</v>
      </c>
    </row>
    <row r="25" spans="2:6" x14ac:dyDescent="0.35">
      <c r="C25" s="166"/>
    </row>
    <row r="26" spans="2:6" x14ac:dyDescent="0.35">
      <c r="C26" s="166"/>
    </row>
    <row r="27" spans="2:6" x14ac:dyDescent="0.35">
      <c r="B27" s="21" t="s">
        <v>62</v>
      </c>
      <c r="C27" s="166"/>
    </row>
    <row r="28" spans="2:6" x14ac:dyDescent="0.35">
      <c r="B28" s="22" t="s">
        <v>28</v>
      </c>
      <c r="C28" s="166">
        <v>281</v>
      </c>
      <c r="E28" s="158">
        <v>1</v>
      </c>
      <c r="F28" s="16" t="s">
        <v>325</v>
      </c>
    </row>
    <row r="29" spans="2:6" x14ac:dyDescent="0.35">
      <c r="B29" s="16" t="s">
        <v>337</v>
      </c>
      <c r="C29" s="166">
        <v>0</v>
      </c>
    </row>
    <row r="30" spans="2:6" x14ac:dyDescent="0.35">
      <c r="C30" s="166"/>
    </row>
    <row r="31" spans="2:6" ht="18.5" x14ac:dyDescent="0.45">
      <c r="B31" s="156" t="s">
        <v>76</v>
      </c>
      <c r="C31" s="166"/>
    </row>
    <row r="32" spans="2:6" ht="16.5" x14ac:dyDescent="0.45">
      <c r="B32" s="74" t="s">
        <v>78</v>
      </c>
      <c r="C32" s="165" t="s">
        <v>338</v>
      </c>
    </row>
    <row r="33" spans="2:14" x14ac:dyDescent="0.35">
      <c r="B33" s="16" t="s">
        <v>339</v>
      </c>
      <c r="C33" s="166">
        <f>(259.5*2)+(259.5*0.2)</f>
        <v>570.9</v>
      </c>
      <c r="E33" s="157" t="s">
        <v>340</v>
      </c>
      <c r="F33" s="16" t="s">
        <v>341</v>
      </c>
    </row>
    <row r="34" spans="2:14" x14ac:dyDescent="0.35">
      <c r="B34" s="16" t="s">
        <v>342</v>
      </c>
      <c r="C34" s="166">
        <f>(149*2)+(149*0.2)</f>
        <v>327.8</v>
      </c>
      <c r="E34" s="157" t="s">
        <v>340</v>
      </c>
      <c r="F34" s="16" t="s">
        <v>343</v>
      </c>
    </row>
    <row r="35" spans="2:14" x14ac:dyDescent="0.35">
      <c r="B35" s="16" t="s">
        <v>344</v>
      </c>
      <c r="C35" s="166">
        <f>(135*2)+(135*0.2)</f>
        <v>297</v>
      </c>
      <c r="E35" s="157" t="s">
        <v>340</v>
      </c>
      <c r="F35" s="16" t="s">
        <v>341</v>
      </c>
    </row>
    <row r="36" spans="2:14" x14ac:dyDescent="0.35">
      <c r="C36" s="166"/>
    </row>
    <row r="37" spans="2:14" x14ac:dyDescent="0.35">
      <c r="C37" s="166"/>
    </row>
    <row r="38" spans="2:14" ht="16.5" x14ac:dyDescent="0.45">
      <c r="B38" s="74" t="s">
        <v>91</v>
      </c>
      <c r="C38" s="167" t="s">
        <v>345</v>
      </c>
      <c r="D38" s="13"/>
    </row>
    <row r="39" spans="2:14" x14ac:dyDescent="0.35">
      <c r="B39" s="16" t="s">
        <v>346</v>
      </c>
      <c r="C39" s="166">
        <f>141*1.2+1.3</f>
        <v>170.5</v>
      </c>
      <c r="E39" s="157" t="s">
        <v>347</v>
      </c>
      <c r="F39" s="16" t="s">
        <v>348</v>
      </c>
      <c r="N39" s="155"/>
    </row>
    <row r="40" spans="2:14" x14ac:dyDescent="0.35">
      <c r="B40" s="16" t="s">
        <v>349</v>
      </c>
      <c r="C40" s="166">
        <f>159*1.2+1.3</f>
        <v>192.1</v>
      </c>
      <c r="E40" s="157" t="s">
        <v>347</v>
      </c>
      <c r="F40" s="16" t="s">
        <v>348</v>
      </c>
    </row>
    <row r="41" spans="2:14" x14ac:dyDescent="0.35">
      <c r="B41" s="16" t="s">
        <v>350</v>
      </c>
      <c r="C41" s="166">
        <f>70.1*1.2+1.3</f>
        <v>85.419999999999987</v>
      </c>
      <c r="E41" s="157" t="s">
        <v>347</v>
      </c>
      <c r="F41" s="16" t="s">
        <v>348</v>
      </c>
    </row>
    <row r="42" spans="2:14" x14ac:dyDescent="0.35">
      <c r="B42" s="16" t="s">
        <v>351</v>
      </c>
      <c r="C42" s="166">
        <f>152*1.2+1.3</f>
        <v>183.70000000000002</v>
      </c>
      <c r="E42" s="157" t="s">
        <v>347</v>
      </c>
      <c r="F42" s="16" t="s">
        <v>348</v>
      </c>
    </row>
    <row r="43" spans="2:14" x14ac:dyDescent="0.35">
      <c r="B43" s="16" t="s">
        <v>352</v>
      </c>
      <c r="C43" s="166">
        <f>152*1.2+1.3</f>
        <v>183.70000000000002</v>
      </c>
      <c r="E43" s="157" t="s">
        <v>347</v>
      </c>
      <c r="F43" s="16" t="s">
        <v>348</v>
      </c>
    </row>
    <row r="44" spans="2:14" x14ac:dyDescent="0.35">
      <c r="B44" s="16" t="s">
        <v>353</v>
      </c>
      <c r="C44" s="166"/>
      <c r="E44" s="16"/>
    </row>
    <row r="45" spans="2:14" x14ac:dyDescent="0.35">
      <c r="B45" s="171" t="s">
        <v>28</v>
      </c>
      <c r="C45" s="166">
        <f>18.8/100*C5+1.95</f>
        <v>54.778000000000006</v>
      </c>
      <c r="E45" s="157" t="s">
        <v>354</v>
      </c>
      <c r="F45" s="16" t="s">
        <v>355</v>
      </c>
    </row>
    <row r="46" spans="2:14" x14ac:dyDescent="0.35">
      <c r="B46" s="171" t="s">
        <v>337</v>
      </c>
      <c r="C46" s="166">
        <v>1.95</v>
      </c>
      <c r="E46" s="157" t="s">
        <v>356</v>
      </c>
      <c r="F46" s="22" t="s">
        <v>357</v>
      </c>
    </row>
    <row r="47" spans="2:14" x14ac:dyDescent="0.35">
      <c r="B47" s="171" t="s">
        <v>329</v>
      </c>
      <c r="C47" s="154">
        <f>((100-Matkustaminen!B21)/100)*Kertoimet!C45</f>
        <v>54.778000000000006</v>
      </c>
    </row>
    <row r="49" spans="2:8" x14ac:dyDescent="0.35">
      <c r="C49" s="166"/>
      <c r="H49" s="212"/>
    </row>
    <row r="50" spans="2:8" ht="16.5" x14ac:dyDescent="0.45">
      <c r="B50" s="74" t="s">
        <v>106</v>
      </c>
      <c r="C50" s="167" t="s">
        <v>358</v>
      </c>
    </row>
    <row r="51" spans="2:8" x14ac:dyDescent="0.35">
      <c r="B51" s="16" t="s">
        <v>359</v>
      </c>
      <c r="C51" s="166">
        <f>(53*1.2)+1.3</f>
        <v>64.899999999999991</v>
      </c>
      <c r="E51" s="157" t="s">
        <v>347</v>
      </c>
      <c r="F51" s="16" t="s">
        <v>348</v>
      </c>
    </row>
    <row r="52" spans="2:8" x14ac:dyDescent="0.35">
      <c r="B52" s="16" t="s">
        <v>360</v>
      </c>
      <c r="C52" s="166">
        <f>1.3*1.2</f>
        <v>1.56</v>
      </c>
      <c r="E52" s="157" t="s">
        <v>347</v>
      </c>
      <c r="F52" s="16" t="s">
        <v>348</v>
      </c>
    </row>
    <row r="53" spans="2:8" x14ac:dyDescent="0.35">
      <c r="B53" s="16" t="s">
        <v>361</v>
      </c>
      <c r="C53" s="166">
        <f>1.52*1.2+1.3</f>
        <v>3.1239999999999997</v>
      </c>
      <c r="E53" s="157" t="s">
        <v>362</v>
      </c>
      <c r="F53" s="16" t="s">
        <v>363</v>
      </c>
    </row>
    <row r="54" spans="2:8" x14ac:dyDescent="0.35">
      <c r="B54" s="16" t="s">
        <v>364</v>
      </c>
      <c r="C54" s="166">
        <f>53*1.2+1.3</f>
        <v>64.899999999999991</v>
      </c>
      <c r="E54" s="157" t="s">
        <v>347</v>
      </c>
      <c r="F54" s="16" t="s">
        <v>348</v>
      </c>
    </row>
    <row r="55" spans="2:8" x14ac:dyDescent="0.35">
      <c r="C55" s="166"/>
      <c r="F55" s="13"/>
    </row>
    <row r="56" spans="2:8" ht="16.5" x14ac:dyDescent="0.45">
      <c r="C56" s="167" t="s">
        <v>345</v>
      </c>
      <c r="F56" s="13"/>
    </row>
    <row r="57" spans="2:8" x14ac:dyDescent="0.35">
      <c r="B57" s="74" t="s">
        <v>113</v>
      </c>
      <c r="C57" s="166">
        <f>574*1.2+1.3</f>
        <v>690.09999999999991</v>
      </c>
      <c r="E57" s="157" t="s">
        <v>347</v>
      </c>
      <c r="F57" s="16" t="s">
        <v>348</v>
      </c>
    </row>
    <row r="58" spans="2:8" x14ac:dyDescent="0.35">
      <c r="C58" s="166"/>
    </row>
    <row r="59" spans="2:8" ht="16.5" x14ac:dyDescent="0.45">
      <c r="B59" s="74" t="s">
        <v>115</v>
      </c>
      <c r="C59" s="167" t="s">
        <v>365</v>
      </c>
    </row>
    <row r="60" spans="2:8" x14ac:dyDescent="0.35">
      <c r="B60" s="16" t="s">
        <v>366</v>
      </c>
      <c r="C60" s="166">
        <f>144*1.2</f>
        <v>172.79999999999998</v>
      </c>
      <c r="E60" s="157" t="s">
        <v>347</v>
      </c>
      <c r="F60" s="16" t="s">
        <v>348</v>
      </c>
    </row>
    <row r="61" spans="2:8" x14ac:dyDescent="0.35">
      <c r="C61" s="166"/>
    </row>
    <row r="62" spans="2:8" x14ac:dyDescent="0.35">
      <c r="C62" s="166"/>
    </row>
    <row r="63" spans="2:8" ht="16.5" x14ac:dyDescent="0.45">
      <c r="B63" s="80" t="s">
        <v>257</v>
      </c>
      <c r="C63" s="167" t="s">
        <v>367</v>
      </c>
      <c r="E63" s="157">
        <v>10</v>
      </c>
      <c r="F63" s="16" t="s">
        <v>368</v>
      </c>
    </row>
    <row r="64" spans="2:8" x14ac:dyDescent="0.35">
      <c r="C64" s="166">
        <f>0.5*1000</f>
        <v>500</v>
      </c>
    </row>
    <row r="65" spans="2:6" x14ac:dyDescent="0.35">
      <c r="C65" s="166"/>
    </row>
    <row r="66" spans="2:6" ht="18.5" x14ac:dyDescent="0.45">
      <c r="B66" s="156" t="s">
        <v>129</v>
      </c>
      <c r="C66" s="167" t="s">
        <v>369</v>
      </c>
    </row>
    <row r="67" spans="2:6" x14ac:dyDescent="0.35">
      <c r="B67" s="16" t="s">
        <v>141</v>
      </c>
      <c r="C67" s="166">
        <v>410</v>
      </c>
      <c r="E67" s="157">
        <v>11</v>
      </c>
      <c r="F67" s="16" t="s">
        <v>370</v>
      </c>
    </row>
    <row r="68" spans="2:6" x14ac:dyDescent="0.35">
      <c r="B68" s="16" t="s">
        <v>145</v>
      </c>
      <c r="C68" s="166">
        <v>60</v>
      </c>
      <c r="E68" s="157">
        <v>11</v>
      </c>
      <c r="F68" s="16" t="s">
        <v>370</v>
      </c>
    </row>
    <row r="69" spans="2:6" x14ac:dyDescent="0.35">
      <c r="B69" s="16" t="s">
        <v>134</v>
      </c>
      <c r="C69" s="166">
        <v>530</v>
      </c>
      <c r="E69" s="157">
        <v>12</v>
      </c>
      <c r="F69" s="16" t="s">
        <v>370</v>
      </c>
    </row>
    <row r="70" spans="2:6" x14ac:dyDescent="0.35">
      <c r="B70" s="16" t="s">
        <v>258</v>
      </c>
      <c r="C70" s="166">
        <v>70</v>
      </c>
      <c r="E70" s="157">
        <v>11</v>
      </c>
      <c r="F70" s="16" t="s">
        <v>370</v>
      </c>
    </row>
    <row r="71" spans="2:6" x14ac:dyDescent="0.35">
      <c r="B71" s="16" t="s">
        <v>147</v>
      </c>
      <c r="C71" s="166">
        <v>570</v>
      </c>
      <c r="E71" s="157">
        <v>11</v>
      </c>
      <c r="F71" s="16" t="s">
        <v>370</v>
      </c>
    </row>
    <row r="72" spans="2:6" x14ac:dyDescent="0.35">
      <c r="B72" s="16" t="s">
        <v>259</v>
      </c>
      <c r="C72" s="166">
        <v>130</v>
      </c>
      <c r="E72" s="157">
        <v>11</v>
      </c>
      <c r="F72" s="16" t="s">
        <v>370</v>
      </c>
    </row>
    <row r="73" spans="2:6" x14ac:dyDescent="0.35">
      <c r="B73" s="16" t="s">
        <v>260</v>
      </c>
      <c r="C73" s="166">
        <v>70</v>
      </c>
      <c r="E73" s="157">
        <v>11</v>
      </c>
      <c r="F73" s="16" t="s">
        <v>370</v>
      </c>
    </row>
    <row r="74" spans="2:6" x14ac:dyDescent="0.35">
      <c r="B74" s="16" t="s">
        <v>143</v>
      </c>
      <c r="C74" s="166">
        <v>1050</v>
      </c>
      <c r="E74" s="157">
        <v>11</v>
      </c>
      <c r="F74" s="16" t="s">
        <v>370</v>
      </c>
    </row>
    <row r="75" spans="2:6" x14ac:dyDescent="0.35">
      <c r="B75" s="16" t="s">
        <v>261</v>
      </c>
      <c r="C75" s="166">
        <v>720</v>
      </c>
      <c r="E75" s="157">
        <v>12</v>
      </c>
      <c r="F75" s="16" t="s">
        <v>371</v>
      </c>
    </row>
    <row r="76" spans="2:6" x14ac:dyDescent="0.35">
      <c r="B76" s="16" t="s">
        <v>262</v>
      </c>
      <c r="C76" s="166">
        <v>1410</v>
      </c>
      <c r="E76" s="157">
        <v>13</v>
      </c>
      <c r="F76" s="16" t="s">
        <v>372</v>
      </c>
    </row>
    <row r="77" spans="2:6" x14ac:dyDescent="0.35">
      <c r="B77" s="16" t="s">
        <v>263</v>
      </c>
      <c r="C77" s="166">
        <f>Jäte!B19</f>
        <v>0</v>
      </c>
    </row>
    <row r="78" spans="2:6" x14ac:dyDescent="0.35">
      <c r="C78" s="166"/>
    </row>
    <row r="79" spans="2:6" x14ac:dyDescent="0.35">
      <c r="C79" s="166"/>
    </row>
    <row r="80" spans="2:6" ht="18.5" x14ac:dyDescent="0.45">
      <c r="B80" s="156" t="s">
        <v>167</v>
      </c>
      <c r="C80" s="167" t="s">
        <v>369</v>
      </c>
    </row>
    <row r="81" spans="2:6" x14ac:dyDescent="0.35">
      <c r="B81" s="16" t="s">
        <v>373</v>
      </c>
      <c r="C81" s="166">
        <v>905</v>
      </c>
      <c r="E81" s="157">
        <v>14</v>
      </c>
      <c r="F81" s="16" t="s">
        <v>374</v>
      </c>
    </row>
    <row r="82" spans="2:6" x14ac:dyDescent="0.35">
      <c r="B82" s="16" t="s">
        <v>375</v>
      </c>
      <c r="C82" s="166">
        <f>C81-150</f>
        <v>755</v>
      </c>
      <c r="E82" s="157">
        <v>14</v>
      </c>
      <c r="F82" s="16" t="s">
        <v>374</v>
      </c>
    </row>
    <row r="83" spans="2:6" x14ac:dyDescent="0.35">
      <c r="C83" s="166"/>
    </row>
    <row r="84" spans="2:6" ht="16.5" x14ac:dyDescent="0.45">
      <c r="B84" s="74" t="s">
        <v>270</v>
      </c>
      <c r="C84" s="167" t="s">
        <v>376</v>
      </c>
    </row>
    <row r="85" spans="2:6" x14ac:dyDescent="0.35">
      <c r="B85" s="16" t="s">
        <v>377</v>
      </c>
      <c r="C85" s="166">
        <v>58500</v>
      </c>
      <c r="E85" s="157">
        <v>13</v>
      </c>
      <c r="F85" s="42" t="s">
        <v>372</v>
      </c>
    </row>
    <row r="86" spans="2:6" x14ac:dyDescent="0.35">
      <c r="B86" s="16" t="s">
        <v>378</v>
      </c>
      <c r="C86" s="166">
        <v>155600</v>
      </c>
      <c r="E86" s="157">
        <v>13</v>
      </c>
      <c r="F86" s="42" t="s">
        <v>372</v>
      </c>
    </row>
    <row r="87" spans="2:6" x14ac:dyDescent="0.35">
      <c r="B87" s="16" t="s">
        <v>379</v>
      </c>
      <c r="C87" s="166">
        <v>199800</v>
      </c>
      <c r="E87" s="157">
        <v>13</v>
      </c>
      <c r="F87" s="42" t="s">
        <v>372</v>
      </c>
    </row>
    <row r="88" spans="2:6" x14ac:dyDescent="0.35">
      <c r="B88" s="16" t="s">
        <v>380</v>
      </c>
      <c r="C88" s="166">
        <v>327600</v>
      </c>
      <c r="E88" s="157">
        <v>13</v>
      </c>
      <c r="F88" s="42" t="s">
        <v>372</v>
      </c>
    </row>
    <row r="89" spans="2:6" x14ac:dyDescent="0.35">
      <c r="B89" s="16" t="s">
        <v>381</v>
      </c>
      <c r="C89" s="166">
        <v>208000</v>
      </c>
      <c r="E89" s="157">
        <v>13</v>
      </c>
      <c r="F89" s="42" t="s">
        <v>372</v>
      </c>
    </row>
    <row r="90" spans="2:6" x14ac:dyDescent="0.35">
      <c r="B90" s="16" t="s">
        <v>382</v>
      </c>
      <c r="C90" s="166">
        <v>410000</v>
      </c>
      <c r="E90" s="157">
        <v>13</v>
      </c>
      <c r="F90" s="42" t="s">
        <v>372</v>
      </c>
    </row>
    <row r="91" spans="2:6" x14ac:dyDescent="0.35">
      <c r="B91" s="16" t="s">
        <v>383</v>
      </c>
      <c r="C91" s="166">
        <v>77800</v>
      </c>
      <c r="E91" s="157">
        <v>13</v>
      </c>
      <c r="F91" s="42" t="s">
        <v>372</v>
      </c>
    </row>
    <row r="92" spans="2:6" x14ac:dyDescent="0.35">
      <c r="B92" s="16" t="s">
        <v>384</v>
      </c>
      <c r="C92" s="166">
        <v>218000</v>
      </c>
      <c r="E92" s="157">
        <v>13</v>
      </c>
      <c r="F92" s="42" t="s">
        <v>372</v>
      </c>
    </row>
    <row r="93" spans="2:6" x14ac:dyDescent="0.35">
      <c r="B93" s="16" t="s">
        <v>385</v>
      </c>
      <c r="C93" s="166">
        <v>254000</v>
      </c>
      <c r="E93" s="157">
        <v>13</v>
      </c>
      <c r="F93" s="42" t="s">
        <v>372</v>
      </c>
    </row>
    <row r="94" spans="2:6" x14ac:dyDescent="0.35">
      <c r="B94" s="16" t="s">
        <v>386</v>
      </c>
      <c r="C94" s="166">
        <v>34000</v>
      </c>
      <c r="E94" s="157">
        <v>13</v>
      </c>
      <c r="F94" s="42" t="s">
        <v>372</v>
      </c>
    </row>
    <row r="95" spans="2:6" x14ac:dyDescent="0.35">
      <c r="B95" s="16" t="s">
        <v>387</v>
      </c>
      <c r="C95" s="166">
        <v>9000</v>
      </c>
      <c r="E95" s="157">
        <v>13</v>
      </c>
      <c r="F95" s="42" t="s">
        <v>372</v>
      </c>
    </row>
    <row r="96" spans="2:6" x14ac:dyDescent="0.35">
      <c r="B96" s="16" t="s">
        <v>388</v>
      </c>
      <c r="C96" s="166">
        <v>0</v>
      </c>
    </row>
    <row r="97" spans="2:6" x14ac:dyDescent="0.35">
      <c r="B97" s="16" t="s">
        <v>389</v>
      </c>
      <c r="C97" s="166">
        <f>Hankinnat!B28</f>
        <v>23000</v>
      </c>
    </row>
    <row r="98" spans="2:6" x14ac:dyDescent="0.35">
      <c r="C98" s="166"/>
    </row>
    <row r="99" spans="2:6" x14ac:dyDescent="0.35">
      <c r="C99" s="166"/>
    </row>
    <row r="100" spans="2:6" ht="18.5" x14ac:dyDescent="0.45">
      <c r="B100" s="156" t="s">
        <v>390</v>
      </c>
      <c r="C100" s="166"/>
    </row>
    <row r="101" spans="2:6" x14ac:dyDescent="0.35">
      <c r="B101" s="74" t="s">
        <v>265</v>
      </c>
      <c r="C101" s="167" t="s">
        <v>391</v>
      </c>
    </row>
    <row r="102" spans="2:6" x14ac:dyDescent="0.35">
      <c r="B102" s="16" t="s">
        <v>392</v>
      </c>
      <c r="C102" s="211">
        <v>2.5981735159817299</v>
      </c>
      <c r="E102" s="157">
        <v>15</v>
      </c>
      <c r="F102" s="16" t="s">
        <v>393</v>
      </c>
    </row>
    <row r="103" spans="2:6" x14ac:dyDescent="0.35">
      <c r="B103" s="16" t="s">
        <v>394</v>
      </c>
      <c r="C103" s="211">
        <v>3.4954337899543377</v>
      </c>
      <c r="E103" s="157">
        <v>15</v>
      </c>
      <c r="F103" s="16" t="s">
        <v>395</v>
      </c>
    </row>
    <row r="104" spans="2:6" x14ac:dyDescent="0.35">
      <c r="B104" s="16" t="s">
        <v>396</v>
      </c>
      <c r="C104" s="211">
        <v>2.9712328767123286</v>
      </c>
      <c r="E104" s="157">
        <v>15</v>
      </c>
      <c r="F104" s="16" t="s">
        <v>393</v>
      </c>
    </row>
    <row r="105" spans="2:6" x14ac:dyDescent="0.35">
      <c r="C105" s="211"/>
    </row>
    <row r="106" spans="2:6" x14ac:dyDescent="0.35">
      <c r="B106" s="16" t="s">
        <v>397</v>
      </c>
      <c r="C106" s="213" t="s">
        <v>398</v>
      </c>
    </row>
    <row r="107" spans="2:6" x14ac:dyDescent="0.35">
      <c r="B107" s="16" t="s">
        <v>399</v>
      </c>
      <c r="C107" s="211">
        <v>280</v>
      </c>
    </row>
    <row r="108" spans="2:6" x14ac:dyDescent="0.35">
      <c r="C108" s="166"/>
    </row>
    <row r="109" spans="2:6" ht="16.5" x14ac:dyDescent="0.45">
      <c r="B109" s="74" t="s">
        <v>400</v>
      </c>
      <c r="C109" s="167" t="s">
        <v>401</v>
      </c>
    </row>
    <row r="110" spans="2:6" x14ac:dyDescent="0.35">
      <c r="B110" s="16" t="s">
        <v>402</v>
      </c>
      <c r="C110" s="168">
        <v>30</v>
      </c>
      <c r="D110" s="160"/>
      <c r="E110" s="157">
        <v>16</v>
      </c>
      <c r="F110" s="16" t="s">
        <v>403</v>
      </c>
    </row>
    <row r="111" spans="2:6" x14ac:dyDescent="0.35">
      <c r="B111" s="16" t="s">
        <v>404</v>
      </c>
      <c r="C111" s="166">
        <v>600</v>
      </c>
      <c r="E111" s="157">
        <v>16</v>
      </c>
      <c r="F111" s="16" t="s">
        <v>403</v>
      </c>
    </row>
    <row r="112" spans="2:6" x14ac:dyDescent="0.35">
      <c r="C112" s="166"/>
    </row>
    <row r="113" spans="2:7" ht="16.5" x14ac:dyDescent="0.45">
      <c r="B113" s="74" t="s">
        <v>267</v>
      </c>
      <c r="C113" s="167" t="s">
        <v>405</v>
      </c>
    </row>
    <row r="114" spans="2:7" x14ac:dyDescent="0.35">
      <c r="B114" s="16" t="s">
        <v>406</v>
      </c>
      <c r="C114" s="166">
        <v>100</v>
      </c>
      <c r="E114" s="157">
        <v>1</v>
      </c>
      <c r="F114" s="16" t="s">
        <v>325</v>
      </c>
    </row>
    <row r="115" spans="2:7" x14ac:dyDescent="0.35">
      <c r="B115" s="16" t="s">
        <v>407</v>
      </c>
      <c r="C115" s="166">
        <v>280</v>
      </c>
      <c r="E115" s="157">
        <v>1</v>
      </c>
      <c r="F115" s="16" t="s">
        <v>325</v>
      </c>
    </row>
    <row r="116" spans="2:7" x14ac:dyDescent="0.35">
      <c r="C116" s="166"/>
    </row>
    <row r="117" spans="2:7" ht="16.5" x14ac:dyDescent="0.45">
      <c r="B117" s="74" t="s">
        <v>408</v>
      </c>
      <c r="C117" s="165" t="s">
        <v>409</v>
      </c>
    </row>
    <row r="118" spans="2:7" x14ac:dyDescent="0.35">
      <c r="B118" s="16" t="s">
        <v>410</v>
      </c>
      <c r="C118" s="166">
        <f>3.81*0.91*1000</f>
        <v>3467.1000000000004</v>
      </c>
      <c r="E118" s="157">
        <v>17</v>
      </c>
      <c r="F118" s="16" t="s">
        <v>411</v>
      </c>
    </row>
    <row r="119" spans="2:7" x14ac:dyDescent="0.35">
      <c r="B119" s="16" t="s">
        <v>412</v>
      </c>
      <c r="C119" s="166">
        <f>2.2*0.85*1000</f>
        <v>1870</v>
      </c>
      <c r="E119" s="157">
        <v>17</v>
      </c>
      <c r="F119" s="16" t="s">
        <v>411</v>
      </c>
    </row>
    <row r="120" spans="2:7" x14ac:dyDescent="0.35">
      <c r="B120" s="16" t="s">
        <v>413</v>
      </c>
      <c r="C120" s="166">
        <f>1.97*0.83*1000</f>
        <v>1635.1</v>
      </c>
      <c r="E120" s="157">
        <v>17</v>
      </c>
      <c r="F120" s="16" t="s">
        <v>411</v>
      </c>
    </row>
    <row r="121" spans="2:7" x14ac:dyDescent="0.35">
      <c r="B121" s="16" t="s">
        <v>414</v>
      </c>
      <c r="C121" s="166">
        <f>2.07*0.83*1000</f>
        <v>1718.0999999999997</v>
      </c>
      <c r="E121" s="157">
        <v>17</v>
      </c>
      <c r="F121" s="16" t="s">
        <v>411</v>
      </c>
      <c r="G121" s="74"/>
    </row>
    <row r="122" spans="2:7" x14ac:dyDescent="0.35">
      <c r="B122" s="16" t="s">
        <v>415</v>
      </c>
      <c r="C122" s="166">
        <f>1.34*0.75*1000</f>
        <v>1005.0000000000001</v>
      </c>
      <c r="E122" s="157">
        <v>17</v>
      </c>
      <c r="F122" s="16" t="s">
        <v>416</v>
      </c>
      <c r="G122" s="74"/>
    </row>
    <row r="123" spans="2:7" x14ac:dyDescent="0.35">
      <c r="B123" s="16" t="s">
        <v>417</v>
      </c>
      <c r="C123" s="169">
        <f>0.8*1000</f>
        <v>800</v>
      </c>
      <c r="E123" s="157">
        <v>17</v>
      </c>
      <c r="F123" s="16" t="s">
        <v>411</v>
      </c>
    </row>
    <row r="124" spans="2:7" x14ac:dyDescent="0.35">
      <c r="B124" s="16" t="s">
        <v>418</v>
      </c>
      <c r="C124" s="166">
        <f>2.1*0.078*1000</f>
        <v>163.80000000000001</v>
      </c>
      <c r="E124" s="157">
        <v>18</v>
      </c>
      <c r="F124" s="16" t="s">
        <v>419</v>
      </c>
    </row>
    <row r="125" spans="2:7" x14ac:dyDescent="0.35">
      <c r="B125" s="16" t="s">
        <v>420</v>
      </c>
      <c r="C125" s="166">
        <f>5.7*0.1*1000</f>
        <v>570.00000000000011</v>
      </c>
      <c r="E125" s="157">
        <v>18</v>
      </c>
      <c r="F125" s="16" t="s">
        <v>419</v>
      </c>
    </row>
    <row r="126" spans="2:7" x14ac:dyDescent="0.35">
      <c r="B126" s="16" t="s">
        <v>208</v>
      </c>
      <c r="C126" s="166">
        <v>217</v>
      </c>
      <c r="E126" s="157">
        <v>18</v>
      </c>
      <c r="F126" s="16" t="s">
        <v>421</v>
      </c>
    </row>
    <row r="127" spans="2:7" x14ac:dyDescent="0.35">
      <c r="B127" s="16" t="s">
        <v>209</v>
      </c>
      <c r="C127" s="166">
        <v>129</v>
      </c>
      <c r="E127" s="157">
        <v>18</v>
      </c>
      <c r="F127" s="16" t="s">
        <v>422</v>
      </c>
    </row>
    <row r="128" spans="2:7" x14ac:dyDescent="0.35">
      <c r="B128" s="16" t="s">
        <v>423</v>
      </c>
      <c r="C128" s="166">
        <f>1.4*0.1*1000</f>
        <v>139.99999999999997</v>
      </c>
      <c r="E128" s="157">
        <v>18</v>
      </c>
      <c r="F128" s="16" t="s">
        <v>424</v>
      </c>
    </row>
    <row r="129" spans="2:9" x14ac:dyDescent="0.35">
      <c r="B129" s="16" t="s">
        <v>425</v>
      </c>
      <c r="C129" s="166">
        <f>'Palvelut &amp; Tapahtumat'!B40*1000</f>
        <v>0</v>
      </c>
    </row>
    <row r="130" spans="2:9" x14ac:dyDescent="0.35">
      <c r="C130" s="166"/>
    </row>
    <row r="131" spans="2:9" ht="16.5" x14ac:dyDescent="0.45">
      <c r="B131" s="74" t="s">
        <v>426</v>
      </c>
      <c r="C131" s="165" t="s">
        <v>427</v>
      </c>
      <c r="I131" s="212"/>
    </row>
    <row r="132" spans="2:9" x14ac:dyDescent="0.35">
      <c r="B132" s="22" t="s">
        <v>428</v>
      </c>
      <c r="C132" s="166">
        <v>600</v>
      </c>
      <c r="E132" s="157">
        <v>18</v>
      </c>
      <c r="F132" s="16" t="s">
        <v>419</v>
      </c>
    </row>
    <row r="133" spans="2:9" x14ac:dyDescent="0.35">
      <c r="B133" s="22" t="s">
        <v>429</v>
      </c>
      <c r="C133" s="166">
        <v>300</v>
      </c>
      <c r="E133" s="157">
        <v>18</v>
      </c>
      <c r="F133" s="16" t="s">
        <v>419</v>
      </c>
    </row>
    <row r="134" spans="2:9" x14ac:dyDescent="0.35">
      <c r="B134" s="22" t="s">
        <v>225</v>
      </c>
      <c r="C134" s="166">
        <v>300</v>
      </c>
      <c r="E134" s="157">
        <v>18</v>
      </c>
      <c r="F134" s="16" t="s">
        <v>419</v>
      </c>
    </row>
    <row r="135" spans="2:9" x14ac:dyDescent="0.35">
      <c r="B135" s="22" t="s">
        <v>228</v>
      </c>
      <c r="C135" s="166">
        <v>1600</v>
      </c>
      <c r="E135" s="157">
        <v>18</v>
      </c>
      <c r="F135" s="16" t="s">
        <v>419</v>
      </c>
    </row>
    <row r="136" spans="2:9" x14ac:dyDescent="0.35">
      <c r="B136" s="22" t="s">
        <v>230</v>
      </c>
      <c r="C136" s="166">
        <v>200</v>
      </c>
      <c r="E136" s="157">
        <v>18</v>
      </c>
      <c r="F136" s="16" t="s">
        <v>419</v>
      </c>
    </row>
    <row r="137" spans="2:9" x14ac:dyDescent="0.35">
      <c r="B137" s="22"/>
      <c r="C137" s="166"/>
    </row>
    <row r="138" spans="2:9" ht="16.5" x14ac:dyDescent="0.45">
      <c r="B138" s="22"/>
      <c r="C138" s="165" t="s">
        <v>430</v>
      </c>
    </row>
    <row r="139" spans="2:9" x14ac:dyDescent="0.35">
      <c r="B139" s="124" t="s">
        <v>431</v>
      </c>
      <c r="C139" s="166">
        <f>1050*1000/100000</f>
        <v>10.5</v>
      </c>
      <c r="E139" s="157">
        <v>20</v>
      </c>
      <c r="F139" s="16" t="s">
        <v>432</v>
      </c>
    </row>
    <row r="140" spans="2:9" x14ac:dyDescent="0.35">
      <c r="C140" s="166"/>
    </row>
    <row r="141" spans="2:9" ht="16.5" x14ac:dyDescent="0.45">
      <c r="B141" s="74" t="s">
        <v>269</v>
      </c>
      <c r="C141" s="165" t="s">
        <v>430</v>
      </c>
    </row>
    <row r="142" spans="2:9" x14ac:dyDescent="0.35">
      <c r="B142" s="22" t="s">
        <v>433</v>
      </c>
      <c r="C142" s="166">
        <v>154</v>
      </c>
      <c r="E142" s="157">
        <v>14</v>
      </c>
      <c r="F142" s="16" t="s">
        <v>374</v>
      </c>
    </row>
    <row r="143" spans="2:9" x14ac:dyDescent="0.35">
      <c r="B143" s="22" t="s">
        <v>314</v>
      </c>
      <c r="C143" s="166">
        <v>33</v>
      </c>
      <c r="E143" s="157">
        <v>14</v>
      </c>
      <c r="F143" s="16" t="s">
        <v>374</v>
      </c>
    </row>
    <row r="144" spans="2:9" x14ac:dyDescent="0.35">
      <c r="B144" s="22" t="s">
        <v>317</v>
      </c>
      <c r="C144" s="166">
        <v>1060</v>
      </c>
      <c r="E144" s="157">
        <v>14</v>
      </c>
      <c r="F144" s="16" t="s">
        <v>374</v>
      </c>
    </row>
    <row r="145" spans="1:6" x14ac:dyDescent="0.35">
      <c r="B145" s="16" t="s">
        <v>434</v>
      </c>
      <c r="C145" s="166">
        <f>1500/2</f>
        <v>750</v>
      </c>
      <c r="E145" s="157">
        <v>19</v>
      </c>
      <c r="F145" s="16" t="s">
        <v>435</v>
      </c>
    </row>
    <row r="146" spans="1:6" x14ac:dyDescent="0.35">
      <c r="B146" s="16" t="s">
        <v>436</v>
      </c>
      <c r="C146" s="166">
        <v>28</v>
      </c>
      <c r="E146" s="157">
        <v>21</v>
      </c>
      <c r="F146" s="16" t="s">
        <v>437</v>
      </c>
    </row>
    <row r="148" spans="1:6" x14ac:dyDescent="0.35">
      <c r="E148" s="16"/>
    </row>
    <row r="149" spans="1:6" x14ac:dyDescent="0.35">
      <c r="E149" s="16"/>
    </row>
    <row r="150" spans="1:6" x14ac:dyDescent="0.35">
      <c r="E150" s="16"/>
    </row>
    <row r="156" spans="1:6" s="25" customFormat="1" x14ac:dyDescent="0.35">
      <c r="A156" s="161"/>
      <c r="C156" s="162"/>
      <c r="E156" s="40"/>
    </row>
    <row r="157" spans="1:6" s="25" customFormat="1" x14ac:dyDescent="0.35">
      <c r="A157" s="161"/>
      <c r="B157" s="163" t="s">
        <v>438</v>
      </c>
      <c r="C157" s="162"/>
      <c r="E157" s="40"/>
    </row>
    <row r="158" spans="1:6" s="25" customFormat="1" x14ac:dyDescent="0.35">
      <c r="A158" s="164">
        <v>1</v>
      </c>
      <c r="B158" s="16" t="s">
        <v>439</v>
      </c>
      <c r="C158" s="162"/>
      <c r="E158" s="40"/>
    </row>
    <row r="159" spans="1:6" s="25" customFormat="1" x14ac:dyDescent="0.35">
      <c r="A159" s="193">
        <v>2</v>
      </c>
      <c r="B159" s="25" t="s">
        <v>440</v>
      </c>
      <c r="C159" s="162"/>
      <c r="E159" s="40"/>
    </row>
    <row r="160" spans="1:6" s="25" customFormat="1" x14ac:dyDescent="0.35">
      <c r="A160" s="164">
        <v>3</v>
      </c>
      <c r="B160" s="25" t="s">
        <v>441</v>
      </c>
      <c r="C160" s="162"/>
      <c r="E160" s="40"/>
    </row>
    <row r="161" spans="1:5" s="25" customFormat="1" x14ac:dyDescent="0.35">
      <c r="A161" s="164">
        <v>4</v>
      </c>
      <c r="B161" s="25" t="s">
        <v>442</v>
      </c>
      <c r="C161" s="162"/>
      <c r="E161" s="40"/>
    </row>
    <row r="162" spans="1:5" s="25" customFormat="1" x14ac:dyDescent="0.35">
      <c r="A162" s="193">
        <v>5</v>
      </c>
      <c r="B162" s="25" t="s">
        <v>443</v>
      </c>
      <c r="C162" s="162"/>
      <c r="E162" s="40"/>
    </row>
    <row r="163" spans="1:5" s="25" customFormat="1" x14ac:dyDescent="0.35">
      <c r="A163" s="164">
        <v>6</v>
      </c>
      <c r="B163" s="25" t="s">
        <v>444</v>
      </c>
      <c r="C163" s="162"/>
      <c r="E163" s="40"/>
    </row>
    <row r="164" spans="1:5" s="25" customFormat="1" x14ac:dyDescent="0.35">
      <c r="A164" s="164">
        <v>7</v>
      </c>
      <c r="B164" s="25" t="s">
        <v>445</v>
      </c>
      <c r="C164" s="162"/>
      <c r="E164" s="40"/>
    </row>
    <row r="165" spans="1:5" s="25" customFormat="1" x14ac:dyDescent="0.35">
      <c r="A165" s="193">
        <v>8</v>
      </c>
      <c r="B165" s="25" t="s">
        <v>446</v>
      </c>
      <c r="C165" s="162"/>
      <c r="E165" s="40"/>
    </row>
    <row r="166" spans="1:5" s="25" customFormat="1" x14ac:dyDescent="0.35">
      <c r="A166" s="164">
        <v>9</v>
      </c>
      <c r="B166" s="25" t="s">
        <v>447</v>
      </c>
      <c r="C166" s="162"/>
      <c r="E166" s="40"/>
    </row>
    <row r="167" spans="1:5" s="25" customFormat="1" x14ac:dyDescent="0.35">
      <c r="A167" s="193">
        <v>10</v>
      </c>
      <c r="B167" s="25" t="s">
        <v>448</v>
      </c>
      <c r="C167" s="162"/>
      <c r="E167" s="40"/>
    </row>
    <row r="168" spans="1:5" s="25" customFormat="1" x14ac:dyDescent="0.35">
      <c r="A168" s="164">
        <v>11</v>
      </c>
      <c r="B168" s="16" t="s">
        <v>449</v>
      </c>
      <c r="C168" s="162"/>
      <c r="E168" s="40"/>
    </row>
    <row r="169" spans="1:5" s="25" customFormat="1" x14ac:dyDescent="0.35">
      <c r="A169" s="164">
        <v>12</v>
      </c>
      <c r="B169" s="25" t="s">
        <v>450</v>
      </c>
      <c r="C169" s="162"/>
      <c r="E169" s="40"/>
    </row>
    <row r="170" spans="1:5" s="25" customFormat="1" x14ac:dyDescent="0.35">
      <c r="A170" s="193">
        <v>13</v>
      </c>
      <c r="B170" s="25" t="s">
        <v>451</v>
      </c>
      <c r="C170" s="162"/>
      <c r="E170" s="40"/>
    </row>
    <row r="171" spans="1:5" s="25" customFormat="1" x14ac:dyDescent="0.35">
      <c r="A171" s="164">
        <v>14</v>
      </c>
      <c r="B171" s="25" t="s">
        <v>452</v>
      </c>
      <c r="C171" s="162"/>
      <c r="E171" s="40"/>
    </row>
    <row r="172" spans="1:5" s="25" customFormat="1" x14ac:dyDescent="0.35">
      <c r="A172" s="193">
        <v>15</v>
      </c>
      <c r="B172" s="25" t="s">
        <v>453</v>
      </c>
      <c r="C172" s="162"/>
      <c r="E172" s="40"/>
    </row>
    <row r="173" spans="1:5" s="25" customFormat="1" x14ac:dyDescent="0.35">
      <c r="A173" s="164">
        <v>16</v>
      </c>
      <c r="B173" s="25" t="s">
        <v>454</v>
      </c>
      <c r="C173" s="162"/>
      <c r="E173" s="40"/>
    </row>
    <row r="174" spans="1:5" s="25" customFormat="1" x14ac:dyDescent="0.35">
      <c r="A174" s="164">
        <v>17</v>
      </c>
      <c r="B174" s="25" t="s">
        <v>455</v>
      </c>
      <c r="C174" s="162"/>
      <c r="E174" s="40"/>
    </row>
    <row r="175" spans="1:5" s="25" customFormat="1" x14ac:dyDescent="0.35">
      <c r="A175" s="193">
        <v>18</v>
      </c>
      <c r="B175" s="16" t="s">
        <v>456</v>
      </c>
      <c r="C175" s="162"/>
      <c r="E175" s="40"/>
    </row>
    <row r="176" spans="1:5" s="25" customFormat="1" x14ac:dyDescent="0.35">
      <c r="A176" s="164">
        <v>19</v>
      </c>
      <c r="B176" s="25" t="s">
        <v>457</v>
      </c>
      <c r="C176" s="162"/>
      <c r="E176" s="40"/>
    </row>
    <row r="177" spans="1:5" s="25" customFormat="1" x14ac:dyDescent="0.35">
      <c r="A177" s="193">
        <v>20</v>
      </c>
      <c r="B177" s="25" t="s">
        <v>458</v>
      </c>
      <c r="C177" s="162"/>
      <c r="E177" s="40"/>
    </row>
    <row r="178" spans="1:5" s="25" customFormat="1" x14ac:dyDescent="0.35">
      <c r="A178" s="25">
        <v>21</v>
      </c>
      <c r="B178" s="25" t="s">
        <v>459</v>
      </c>
      <c r="C178" s="162"/>
      <c r="E178" s="40"/>
    </row>
    <row r="179" spans="1:5" x14ac:dyDescent="0.35">
      <c r="C179" s="76"/>
    </row>
    <row r="180" spans="1:5" x14ac:dyDescent="0.35">
      <c r="C180" s="76"/>
    </row>
    <row r="181" spans="1:5" x14ac:dyDescent="0.35">
      <c r="C181" s="76"/>
    </row>
    <row r="182" spans="1:5" x14ac:dyDescent="0.35">
      <c r="C182" s="76"/>
    </row>
    <row r="183" spans="1:5" x14ac:dyDescent="0.35">
      <c r="C183" s="76"/>
    </row>
    <row r="184" spans="1:5" x14ac:dyDescent="0.35">
      <c r="C184" s="76"/>
    </row>
    <row r="185" spans="1:5" x14ac:dyDescent="0.35">
      <c r="C185" s="76"/>
    </row>
    <row r="186" spans="1:5" x14ac:dyDescent="0.35">
      <c r="C186" s="76"/>
    </row>
    <row r="187" spans="1:5" x14ac:dyDescent="0.35">
      <c r="C187" s="76"/>
    </row>
    <row r="188" spans="1:5" x14ac:dyDescent="0.35">
      <c r="C188" s="76"/>
    </row>
    <row r="189" spans="1:5" x14ac:dyDescent="0.35">
      <c r="C189" s="76"/>
    </row>
    <row r="190" spans="1:5" x14ac:dyDescent="0.35">
      <c r="C190" s="76"/>
    </row>
    <row r="191" spans="1:5" x14ac:dyDescent="0.35">
      <c r="C191" s="76"/>
    </row>
    <row r="192" spans="1:5" x14ac:dyDescent="0.35">
      <c r="C192" s="76"/>
    </row>
    <row r="193" spans="3:3" x14ac:dyDescent="0.35">
      <c r="C193" s="76"/>
    </row>
    <row r="194" spans="3:3" x14ac:dyDescent="0.35">
      <c r="C194" s="76"/>
    </row>
    <row r="195" spans="3:3" x14ac:dyDescent="0.35">
      <c r="C195" s="76"/>
    </row>
    <row r="196" spans="3:3" x14ac:dyDescent="0.35">
      <c r="C196" s="76"/>
    </row>
    <row r="197" spans="3:3" x14ac:dyDescent="0.35">
      <c r="C197" s="76"/>
    </row>
    <row r="198" spans="3:3" x14ac:dyDescent="0.35">
      <c r="C198" s="76"/>
    </row>
    <row r="199" spans="3:3" x14ac:dyDescent="0.35">
      <c r="C199" s="76"/>
    </row>
    <row r="200" spans="3:3" x14ac:dyDescent="0.35">
      <c r="C200" s="76"/>
    </row>
    <row r="201" spans="3:3" x14ac:dyDescent="0.35">
      <c r="C201" s="76"/>
    </row>
    <row r="202" spans="3:3" x14ac:dyDescent="0.35">
      <c r="C202" s="76"/>
    </row>
    <row r="203" spans="3:3" x14ac:dyDescent="0.35">
      <c r="C203" s="76"/>
    </row>
    <row r="204" spans="3:3" x14ac:dyDescent="0.35">
      <c r="C204" s="76"/>
    </row>
    <row r="205" spans="3:3" x14ac:dyDescent="0.35">
      <c r="C205" s="76"/>
    </row>
    <row r="206" spans="3:3" x14ac:dyDescent="0.35">
      <c r="C206" s="76"/>
    </row>
    <row r="207" spans="3:3" x14ac:dyDescent="0.35">
      <c r="C207" s="76"/>
    </row>
    <row r="208" spans="3:3" x14ac:dyDescent="0.35">
      <c r="C208" s="76"/>
    </row>
    <row r="209" spans="3:3" x14ac:dyDescent="0.35">
      <c r="C209" s="76"/>
    </row>
    <row r="210" spans="3:3" x14ac:dyDescent="0.35">
      <c r="C210" s="76"/>
    </row>
    <row r="211" spans="3:3" x14ac:dyDescent="0.35">
      <c r="C211" s="76"/>
    </row>
    <row r="212" spans="3:3" x14ac:dyDescent="0.35">
      <c r="C212" s="76"/>
    </row>
    <row r="213" spans="3:3" x14ac:dyDescent="0.35">
      <c r="C213" s="76"/>
    </row>
    <row r="214" spans="3:3" x14ac:dyDescent="0.35">
      <c r="C214" s="76"/>
    </row>
    <row r="215" spans="3:3" x14ac:dyDescent="0.35">
      <c r="C215" s="76"/>
    </row>
    <row r="216" spans="3:3" x14ac:dyDescent="0.35">
      <c r="C216" s="76"/>
    </row>
    <row r="217" spans="3:3" x14ac:dyDescent="0.35">
      <c r="C217" s="76"/>
    </row>
    <row r="218" spans="3:3" x14ac:dyDescent="0.35">
      <c r="C218" s="76"/>
    </row>
    <row r="219" spans="3:3" x14ac:dyDescent="0.35">
      <c r="C219" s="76"/>
    </row>
    <row r="220" spans="3:3" x14ac:dyDescent="0.35">
      <c r="C220" s="76"/>
    </row>
    <row r="221" spans="3:3" x14ac:dyDescent="0.35">
      <c r="C221" s="76"/>
    </row>
    <row r="222" spans="3:3" x14ac:dyDescent="0.35">
      <c r="C222" s="76"/>
    </row>
    <row r="223" spans="3:3" x14ac:dyDescent="0.35">
      <c r="C223" s="76"/>
    </row>
    <row r="224" spans="3:3" x14ac:dyDescent="0.35">
      <c r="C224" s="76"/>
    </row>
    <row r="225" spans="3:3" x14ac:dyDescent="0.35">
      <c r="C225" s="76"/>
    </row>
    <row r="226" spans="3:3" x14ac:dyDescent="0.35">
      <c r="C226" s="76"/>
    </row>
    <row r="227" spans="3:3" x14ac:dyDescent="0.35">
      <c r="C227" s="76"/>
    </row>
    <row r="228" spans="3:3" x14ac:dyDescent="0.35">
      <c r="C228" s="76"/>
    </row>
    <row r="229" spans="3:3" x14ac:dyDescent="0.35">
      <c r="C229" s="76"/>
    </row>
    <row r="230" spans="3:3" x14ac:dyDescent="0.35">
      <c r="C230" s="76"/>
    </row>
    <row r="231" spans="3:3" x14ac:dyDescent="0.35">
      <c r="C231" s="76"/>
    </row>
    <row r="232" spans="3:3" x14ac:dyDescent="0.35">
      <c r="C232" s="76"/>
    </row>
    <row r="233" spans="3:3" x14ac:dyDescent="0.35">
      <c r="C233" s="76"/>
    </row>
    <row r="234" spans="3:3" x14ac:dyDescent="0.35">
      <c r="C234" s="76"/>
    </row>
    <row r="235" spans="3:3" x14ac:dyDescent="0.35">
      <c r="C235" s="76"/>
    </row>
    <row r="236" spans="3:3" x14ac:dyDescent="0.35">
      <c r="C236" s="76"/>
    </row>
    <row r="237" spans="3:3" x14ac:dyDescent="0.35">
      <c r="C237" s="76"/>
    </row>
    <row r="238" spans="3:3" x14ac:dyDescent="0.35">
      <c r="C238" s="76"/>
    </row>
    <row r="239" spans="3:3" x14ac:dyDescent="0.35">
      <c r="C239" s="76"/>
    </row>
    <row r="240" spans="3:3" x14ac:dyDescent="0.35">
      <c r="C240" s="76"/>
    </row>
    <row r="241" spans="3:3" x14ac:dyDescent="0.35">
      <c r="C241" s="76"/>
    </row>
    <row r="242" spans="3:3" x14ac:dyDescent="0.35">
      <c r="C242" s="76"/>
    </row>
    <row r="243" spans="3:3" x14ac:dyDescent="0.35">
      <c r="C243" s="76"/>
    </row>
    <row r="244" spans="3:3" x14ac:dyDescent="0.35">
      <c r="C244" s="76"/>
    </row>
    <row r="245" spans="3:3" x14ac:dyDescent="0.35">
      <c r="C245" s="76"/>
    </row>
    <row r="246" spans="3:3" x14ac:dyDescent="0.35">
      <c r="C246" s="76"/>
    </row>
    <row r="247" spans="3:3" x14ac:dyDescent="0.35">
      <c r="C247" s="76"/>
    </row>
    <row r="248" spans="3:3" x14ac:dyDescent="0.35">
      <c r="C248" s="76"/>
    </row>
    <row r="249" spans="3:3" x14ac:dyDescent="0.35">
      <c r="C249" s="76"/>
    </row>
    <row r="250" spans="3:3" x14ac:dyDescent="0.35">
      <c r="C250" s="76"/>
    </row>
    <row r="251" spans="3:3" x14ac:dyDescent="0.35">
      <c r="C251" s="76"/>
    </row>
    <row r="252" spans="3:3" x14ac:dyDescent="0.35">
      <c r="C252" s="76"/>
    </row>
    <row r="253" spans="3:3" x14ac:dyDescent="0.35">
      <c r="C253" s="76"/>
    </row>
    <row r="254" spans="3:3" x14ac:dyDescent="0.35">
      <c r="C254" s="76"/>
    </row>
    <row r="255" spans="3:3" x14ac:dyDescent="0.35">
      <c r="C255" s="76"/>
    </row>
    <row r="256" spans="3:3" x14ac:dyDescent="0.35">
      <c r="C256" s="76"/>
    </row>
    <row r="257" spans="3:3" x14ac:dyDescent="0.35">
      <c r="C257" s="76"/>
    </row>
    <row r="258" spans="3:3" x14ac:dyDescent="0.35">
      <c r="C258" s="76"/>
    </row>
  </sheetData>
  <sheetProtection sheet="1" formatCells="0"/>
  <pageMargins left="0.7" right="0.7" top="0.75" bottom="0.75" header="0.3" footer="0.3"/>
  <pageSetup paperSize="9" orientation="portrait" horizontalDpi="4294967293" verticalDpi="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21"/>
  <sheetViews>
    <sheetView topLeftCell="D1" workbookViewId="0">
      <pane ySplit="1" topLeftCell="A2" activePane="bottomLeft" state="frozen"/>
      <selection pane="bottomLeft" activeCell="E1" sqref="E1"/>
    </sheetView>
  </sheetViews>
  <sheetFormatPr defaultColWidth="9.1796875" defaultRowHeight="14.5" x14ac:dyDescent="0.35"/>
  <cols>
    <col min="1" max="1" width="11.453125" style="5" customWidth="1"/>
    <col min="2" max="2" width="3.453125" style="5" customWidth="1"/>
    <col min="3" max="3" width="107.81640625" style="5" customWidth="1"/>
    <col min="4" max="4" width="4.453125" style="5" customWidth="1"/>
    <col min="5" max="5" width="108.54296875" style="5" customWidth="1"/>
    <col min="6" max="16384" width="9.1796875" style="5"/>
  </cols>
  <sheetData>
    <row r="1" spans="1:5" s="2" customFormat="1" ht="18.5" x14ac:dyDescent="0.45">
      <c r="A1" s="199" t="s">
        <v>460</v>
      </c>
    </row>
    <row r="2" spans="1:5" x14ac:dyDescent="0.35">
      <c r="A2" s="6"/>
    </row>
    <row r="3" spans="1:5" x14ac:dyDescent="0.35">
      <c r="A3" s="5" t="s">
        <v>461</v>
      </c>
    </row>
    <row r="5" spans="1:5" x14ac:dyDescent="0.35">
      <c r="A5" s="227" t="s">
        <v>462</v>
      </c>
      <c r="B5" s="226"/>
    </row>
    <row r="7" spans="1:5" x14ac:dyDescent="0.35">
      <c r="A7" s="203" t="s">
        <v>463</v>
      </c>
    </row>
    <row r="8" spans="1:5" x14ac:dyDescent="0.35">
      <c r="A8" s="5" t="s">
        <v>464</v>
      </c>
    </row>
    <row r="9" spans="1:5" x14ac:dyDescent="0.35">
      <c r="A9" s="203" t="s">
        <v>465</v>
      </c>
    </row>
    <row r="10" spans="1:5" x14ac:dyDescent="0.35">
      <c r="A10" s="5" t="s">
        <v>466</v>
      </c>
    </row>
    <row r="13" spans="1:5" x14ac:dyDescent="0.35">
      <c r="A13" s="6"/>
    </row>
    <row r="15" spans="1:5" x14ac:dyDescent="0.35">
      <c r="A15" s="204" t="s">
        <v>467</v>
      </c>
      <c r="B15" s="205"/>
      <c r="C15" s="205" t="s">
        <v>468</v>
      </c>
      <c r="D15" s="205"/>
      <c r="E15" s="206" t="s">
        <v>469</v>
      </c>
    </row>
    <row r="16" spans="1:5" customFormat="1" x14ac:dyDescent="0.35">
      <c r="A16" s="220">
        <v>43381</v>
      </c>
      <c r="C16" t="s">
        <v>470</v>
      </c>
      <c r="E16" s="207"/>
    </row>
    <row r="17" spans="1:5" customFormat="1" x14ac:dyDescent="0.35">
      <c r="A17" s="220">
        <v>43382</v>
      </c>
      <c r="C17" t="s">
        <v>471</v>
      </c>
      <c r="E17" s="207"/>
    </row>
    <row r="18" spans="1:5" customFormat="1" x14ac:dyDescent="0.35">
      <c r="A18" s="220">
        <v>43388</v>
      </c>
      <c r="C18" t="s">
        <v>472</v>
      </c>
      <c r="E18" s="207"/>
    </row>
    <row r="19" spans="1:5" customFormat="1" x14ac:dyDescent="0.35">
      <c r="A19" s="220">
        <v>43420</v>
      </c>
      <c r="C19" s="228" t="s">
        <v>473</v>
      </c>
      <c r="E19" s="207"/>
    </row>
    <row r="20" spans="1:5" customFormat="1" ht="43.5" x14ac:dyDescent="0.35">
      <c r="A20" s="232">
        <v>2019</v>
      </c>
      <c r="C20" s="231" t="s">
        <v>474</v>
      </c>
      <c r="E20" s="207"/>
    </row>
    <row r="21" spans="1:5" customFormat="1" x14ac:dyDescent="0.35">
      <c r="A21" s="208"/>
      <c r="B21" s="209"/>
      <c r="C21" s="209"/>
      <c r="D21" s="209"/>
      <c r="E21" s="210"/>
    </row>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8"/>
  <sheetViews>
    <sheetView workbookViewId="0">
      <selection activeCell="O15" sqref="O15"/>
    </sheetView>
  </sheetViews>
  <sheetFormatPr defaultRowHeight="14.5" x14ac:dyDescent="0.35"/>
  <sheetData>
    <row r="1" spans="1:15" s="1" customFormat="1" ht="18.5" x14ac:dyDescent="0.45">
      <c r="A1" s="1" t="s">
        <v>475</v>
      </c>
    </row>
    <row r="2" spans="1:15" x14ac:dyDescent="0.35">
      <c r="A2" s="234" t="str">
        <f>Info!B2</f>
        <v>Pesäpuu ry</v>
      </c>
    </row>
    <row r="3" spans="1:15" x14ac:dyDescent="0.35">
      <c r="A3" t="s">
        <v>476</v>
      </c>
    </row>
    <row r="6" spans="1:15" x14ac:dyDescent="0.35">
      <c r="B6" t="s">
        <v>477</v>
      </c>
    </row>
    <row r="8" spans="1:15" x14ac:dyDescent="0.35">
      <c r="B8" t="s">
        <v>478</v>
      </c>
    </row>
    <row r="10" spans="1:15" x14ac:dyDescent="0.35">
      <c r="L10" t="s">
        <v>479</v>
      </c>
      <c r="N10" s="239">
        <f>773</f>
        <v>773</v>
      </c>
      <c r="O10" t="s">
        <v>480</v>
      </c>
    </row>
    <row r="11" spans="1:15" x14ac:dyDescent="0.35">
      <c r="L11" t="s">
        <v>481</v>
      </c>
      <c r="N11">
        <v>8026.89</v>
      </c>
      <c r="O11" t="s">
        <v>482</v>
      </c>
    </row>
    <row r="12" spans="1:15" x14ac:dyDescent="0.35">
      <c r="L12" t="s">
        <v>483</v>
      </c>
      <c r="N12">
        <v>4928.5</v>
      </c>
      <c r="O12" t="s">
        <v>480</v>
      </c>
    </row>
    <row r="13" spans="1:15" x14ac:dyDescent="0.35">
      <c r="M13" t="s">
        <v>484</v>
      </c>
      <c r="N13" s="239">
        <f>SUM(N9:N12)</f>
        <v>13728.39</v>
      </c>
    </row>
    <row r="15" spans="1:15" x14ac:dyDescent="0.35">
      <c r="B15" t="s">
        <v>485</v>
      </c>
    </row>
    <row r="17" spans="5:6" x14ac:dyDescent="0.35">
      <c r="E17" s="241">
        <f>20000/15</f>
        <v>1333.3333333333333</v>
      </c>
      <c r="F17" t="s">
        <v>486</v>
      </c>
    </row>
    <row r="18" spans="5:6" x14ac:dyDescent="0.35">
      <c r="E18" s="241"/>
      <c r="F18" t="s">
        <v>487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50"/>
  <sheetViews>
    <sheetView workbookViewId="0">
      <pane ySplit="1" topLeftCell="A18" activePane="bottomLeft" state="frozen"/>
      <selection pane="bottomLeft" activeCell="G15" sqref="G15"/>
    </sheetView>
  </sheetViews>
  <sheetFormatPr defaultColWidth="9.1796875" defaultRowHeight="14.5" x14ac:dyDescent="0.35"/>
  <cols>
    <col min="1" max="1" width="35.453125" style="16" customWidth="1"/>
    <col min="2" max="2" width="24" style="16" customWidth="1"/>
    <col min="3" max="3" width="19.54296875" style="16" hidden="1" customWidth="1"/>
    <col min="4" max="4" width="15.54296875" style="16" customWidth="1"/>
    <col min="5" max="5" width="11.81640625" style="16" customWidth="1"/>
    <col min="6" max="6" width="7" style="17" customWidth="1"/>
    <col min="7" max="7" width="188.453125" style="14" customWidth="1"/>
    <col min="8" max="26" width="9.1796875" style="45"/>
    <col min="27" max="16384" width="9.1796875" style="16"/>
  </cols>
  <sheetData>
    <row r="1" spans="1:7" s="27" customFormat="1" ht="18.5" x14ac:dyDescent="0.45">
      <c r="A1" s="7" t="s">
        <v>16</v>
      </c>
      <c r="B1" s="8" t="s">
        <v>17</v>
      </c>
      <c r="F1" s="28"/>
    </row>
    <row r="2" spans="1:7" ht="17" x14ac:dyDescent="0.4">
      <c r="A2" s="65" t="str">
        <f>Info!B2</f>
        <v>Pesäpuu ry</v>
      </c>
      <c r="B2" s="65">
        <f>Info!B4</f>
        <v>2019</v>
      </c>
    </row>
    <row r="3" spans="1:7" ht="15" customHeight="1" x14ac:dyDescent="0.4">
      <c r="A3" s="63"/>
      <c r="B3" s="63"/>
    </row>
    <row r="4" spans="1:7" ht="15.5" x14ac:dyDescent="0.35">
      <c r="F4" s="9" t="s">
        <v>18</v>
      </c>
      <c r="G4" s="29" t="s">
        <v>19</v>
      </c>
    </row>
    <row r="5" spans="1:7" ht="16.5" x14ac:dyDescent="0.45">
      <c r="A5" s="10" t="s">
        <v>20</v>
      </c>
      <c r="B5" s="21" t="s">
        <v>21</v>
      </c>
      <c r="C5" s="22" t="s">
        <v>22</v>
      </c>
      <c r="D5" s="21" t="s">
        <v>23</v>
      </c>
      <c r="G5" s="14" t="s">
        <v>24</v>
      </c>
    </row>
    <row r="6" spans="1:7" ht="18" customHeight="1" thickBot="1" x14ac:dyDescent="0.4">
      <c r="A6" s="16" t="s">
        <v>25</v>
      </c>
      <c r="B6" s="32">
        <f>773+8026.89+4928.5</f>
        <v>13728.39</v>
      </c>
      <c r="C6" s="33">
        <f>IFERROR(B6*(VLOOKUP(B7,Kertoimet!B5:'Kertoimet'!C8,2,FALSE)),"Tee valinta solusta B7")</f>
        <v>3857677.59</v>
      </c>
      <c r="D6" s="68">
        <f>IFERROR((C6/1000),"0")</f>
        <v>3857.6775899999998</v>
      </c>
      <c r="F6" s="17">
        <v>1</v>
      </c>
      <c r="G6" s="14" t="s">
        <v>26</v>
      </c>
    </row>
    <row r="7" spans="1:7" ht="18" customHeight="1" thickTop="1" thickBot="1" x14ac:dyDescent="0.4">
      <c r="A7" s="16" t="s">
        <v>27</v>
      </c>
      <c r="B7" s="26" t="s">
        <v>28</v>
      </c>
      <c r="C7" s="13"/>
      <c r="G7" s="14" t="s">
        <v>29</v>
      </c>
    </row>
    <row r="8" spans="1:7" ht="18" customHeight="1" thickTop="1" x14ac:dyDescent="0.35">
      <c r="F8" s="11"/>
      <c r="G8" s="34" t="s">
        <v>30</v>
      </c>
    </row>
    <row r="9" spans="1:7" ht="18" customHeight="1" x14ac:dyDescent="0.35">
      <c r="A9" s="16" t="str">
        <f>Kertoimet!B7</f>
        <v>Tuotekohtainen päästökerroin</v>
      </c>
      <c r="B9" s="32"/>
      <c r="D9" s="42" t="s">
        <v>31</v>
      </c>
      <c r="G9" s="14" t="s">
        <v>32</v>
      </c>
    </row>
    <row r="10" spans="1:7" x14ac:dyDescent="0.35">
      <c r="A10" s="12"/>
      <c r="E10" s="22"/>
      <c r="G10" s="14" t="s">
        <v>33</v>
      </c>
    </row>
    <row r="11" spans="1:7" ht="18" customHeight="1" x14ac:dyDescent="0.35">
      <c r="A11" s="16" t="s">
        <v>34</v>
      </c>
      <c r="B11" s="32"/>
      <c r="C11" s="13"/>
      <c r="G11" s="14" t="s">
        <v>35</v>
      </c>
    </row>
    <row r="12" spans="1:7" x14ac:dyDescent="0.35">
      <c r="B12" s="13"/>
      <c r="G12" s="14" t="s">
        <v>36</v>
      </c>
    </row>
    <row r="14" spans="1:7" ht="16.5" x14ac:dyDescent="0.45">
      <c r="A14" s="10" t="s">
        <v>37</v>
      </c>
      <c r="B14" s="21" t="s">
        <v>21</v>
      </c>
      <c r="C14" s="22" t="s">
        <v>22</v>
      </c>
      <c r="D14" s="21" t="s">
        <v>23</v>
      </c>
      <c r="G14" s="14" t="s">
        <v>38</v>
      </c>
    </row>
    <row r="15" spans="1:7" ht="18" customHeight="1" thickBot="1" x14ac:dyDescent="0.4">
      <c r="A15" s="16" t="s">
        <v>25</v>
      </c>
      <c r="B15" s="32">
        <f>(22+272+138)*118.9</f>
        <v>51364.800000000003</v>
      </c>
      <c r="C15" s="33">
        <f>IFERROR(B15*(VLOOKUP(B16,Kertoimet!B12:'Kertoimet'!C16,2,FALSE)),"Tee valinta solusta B16")</f>
        <v>11587898.880000001</v>
      </c>
      <c r="D15" s="68">
        <f>IFERROR((C15/1000),"0")</f>
        <v>11587.898880000001</v>
      </c>
      <c r="F15" s="17">
        <v>2</v>
      </c>
      <c r="G15" s="71" t="s">
        <v>39</v>
      </c>
    </row>
    <row r="16" spans="1:7" ht="18" customHeight="1" thickTop="1" thickBot="1" x14ac:dyDescent="0.4">
      <c r="A16" s="16" t="s">
        <v>40</v>
      </c>
      <c r="B16" s="26" t="s">
        <v>41</v>
      </c>
      <c r="G16" s="14" t="s">
        <v>42</v>
      </c>
    </row>
    <row r="17" spans="1:7" ht="15" thickTop="1" x14ac:dyDescent="0.35">
      <c r="G17" s="14" t="s">
        <v>43</v>
      </c>
    </row>
    <row r="18" spans="1:7" ht="18" customHeight="1" x14ac:dyDescent="0.35">
      <c r="A18" s="16" t="s">
        <v>44</v>
      </c>
      <c r="B18" s="36"/>
      <c r="D18" s="42" t="s">
        <v>31</v>
      </c>
      <c r="G18" s="14" t="s">
        <v>45</v>
      </c>
    </row>
    <row r="19" spans="1:7" ht="18" customHeight="1" x14ac:dyDescent="0.35">
      <c r="A19" s="16" t="str">
        <f>Kertoimet!B15</f>
        <v>Myyjän ilmoittama päästökerroin</v>
      </c>
      <c r="B19" s="32"/>
      <c r="D19" s="42" t="s">
        <v>31</v>
      </c>
      <c r="G19" s="35" t="s">
        <v>46</v>
      </c>
    </row>
    <row r="20" spans="1:7" x14ac:dyDescent="0.35">
      <c r="C20" s="13"/>
      <c r="G20" s="15" t="s">
        <v>47</v>
      </c>
    </row>
    <row r="21" spans="1:7" ht="18" customHeight="1" x14ac:dyDescent="0.35">
      <c r="A21" s="16" t="s">
        <v>48</v>
      </c>
      <c r="B21" s="32"/>
      <c r="G21" s="14" t="s">
        <v>49</v>
      </c>
    </row>
    <row r="22" spans="1:7" x14ac:dyDescent="0.35">
      <c r="A22" s="13"/>
      <c r="G22" s="14" t="s">
        <v>50</v>
      </c>
    </row>
    <row r="23" spans="1:7" x14ac:dyDescent="0.35">
      <c r="G23" s="14" t="s">
        <v>51</v>
      </c>
    </row>
    <row r="24" spans="1:7" ht="16.5" x14ac:dyDescent="0.45">
      <c r="A24" s="10" t="s">
        <v>52</v>
      </c>
      <c r="B24" s="21" t="s">
        <v>21</v>
      </c>
      <c r="C24" s="22"/>
      <c r="D24" s="21" t="s">
        <v>23</v>
      </c>
      <c r="G24" s="35" t="s">
        <v>53</v>
      </c>
    </row>
    <row r="25" spans="1:7" ht="18" customHeight="1" x14ac:dyDescent="0.35">
      <c r="A25" s="16" t="s">
        <v>25</v>
      </c>
      <c r="B25" s="32"/>
      <c r="C25" s="66"/>
      <c r="D25" s="68">
        <f>B25*Kertoimet!C19/1000</f>
        <v>0</v>
      </c>
      <c r="F25" s="17">
        <v>3</v>
      </c>
      <c r="G25" s="14" t="s">
        <v>54</v>
      </c>
    </row>
    <row r="26" spans="1:7" x14ac:dyDescent="0.35">
      <c r="G26" s="14" t="s">
        <v>55</v>
      </c>
    </row>
    <row r="27" spans="1:7" ht="16.5" x14ac:dyDescent="0.45">
      <c r="A27" s="19" t="s">
        <v>56</v>
      </c>
      <c r="B27" s="21" t="s">
        <v>21</v>
      </c>
      <c r="C27" s="22"/>
      <c r="D27" s="21" t="s">
        <v>23</v>
      </c>
      <c r="G27" s="14" t="s">
        <v>57</v>
      </c>
    </row>
    <row r="28" spans="1:7" ht="18" customHeight="1" x14ac:dyDescent="0.35">
      <c r="A28" s="16" t="str">
        <f>Kertoimet!B23</f>
        <v>Sähkölämmitys</v>
      </c>
      <c r="B28" s="32"/>
      <c r="C28" s="66"/>
      <c r="D28" s="67">
        <f>B28*Kertoimet!C23/1000</f>
        <v>0</v>
      </c>
      <c r="E28" s="12"/>
      <c r="F28" s="17">
        <v>4</v>
      </c>
      <c r="G28" s="14" t="s">
        <v>58</v>
      </c>
    </row>
    <row r="29" spans="1:7" ht="18" customHeight="1" x14ac:dyDescent="0.35">
      <c r="A29" s="16" t="str">
        <f>Kertoimet!B24</f>
        <v>Sähköjäähdytys</v>
      </c>
      <c r="B29" s="32"/>
      <c r="C29" s="66"/>
      <c r="D29" s="67">
        <f>B29*Kertoimet!C24/1000</f>
        <v>0</v>
      </c>
      <c r="F29" s="17">
        <v>1</v>
      </c>
      <c r="G29" s="15" t="s">
        <v>59</v>
      </c>
    </row>
    <row r="30" spans="1:7" ht="15.5" x14ac:dyDescent="0.35">
      <c r="B30" s="20" t="s">
        <v>60</v>
      </c>
      <c r="D30" s="68">
        <f>SUM(D28:D29)</f>
        <v>0</v>
      </c>
    </row>
    <row r="31" spans="1:7" x14ac:dyDescent="0.35">
      <c r="G31" s="14" t="s">
        <v>61</v>
      </c>
    </row>
    <row r="32" spans="1:7" ht="16.5" x14ac:dyDescent="0.45">
      <c r="A32" s="21" t="s">
        <v>62</v>
      </c>
      <c r="B32" s="21" t="s">
        <v>21</v>
      </c>
      <c r="C32" s="22"/>
      <c r="D32" s="21" t="s">
        <v>23</v>
      </c>
    </row>
    <row r="33" spans="1:7" ht="18" customHeight="1" thickBot="1" x14ac:dyDescent="0.4">
      <c r="A33" s="22" t="s">
        <v>63</v>
      </c>
      <c r="B33" s="4"/>
      <c r="C33" s="3" t="str">
        <f>IFERROR(B33*(VLOOKUP(B34,Kertoimet!B28:'Kertoimet'!C29,2,FALSE)),"Tee valinta solusta B33")</f>
        <v>Tee valinta solusta B33</v>
      </c>
      <c r="D33" s="222" t="str">
        <f>IFERROR((C33/1000),"0")</f>
        <v>0</v>
      </c>
      <c r="F33" s="17">
        <v>2</v>
      </c>
      <c r="G33" s="14" t="s">
        <v>64</v>
      </c>
    </row>
    <row r="34" spans="1:7" ht="18" customHeight="1" thickTop="1" thickBot="1" x14ac:dyDescent="0.4">
      <c r="A34" s="16" t="s">
        <v>65</v>
      </c>
      <c r="B34" s="26" t="s">
        <v>66</v>
      </c>
      <c r="G34" s="15" t="s">
        <v>67</v>
      </c>
    </row>
    <row r="35" spans="1:7" ht="15" thickTop="1" x14ac:dyDescent="0.35">
      <c r="B35" s="13"/>
      <c r="G35" s="18"/>
    </row>
    <row r="36" spans="1:7" ht="16" thickBot="1" x14ac:dyDescent="0.4">
      <c r="D36" s="23" t="s">
        <v>68</v>
      </c>
    </row>
    <row r="37" spans="1:7" ht="18.75" customHeight="1" thickBot="1" x14ac:dyDescent="0.4">
      <c r="A37" s="41" t="s">
        <v>69</v>
      </c>
      <c r="B37" s="37"/>
      <c r="C37" s="38"/>
      <c r="D37" s="221">
        <f>D6+D15+D25+D30+D33</f>
        <v>15445.57647</v>
      </c>
      <c r="E37" s="24" t="s">
        <v>70</v>
      </c>
      <c r="F37" s="39"/>
    </row>
    <row r="41" spans="1:7" x14ac:dyDescent="0.35">
      <c r="A41" s="13"/>
    </row>
    <row r="43" spans="1:7" s="25" customFormat="1" x14ac:dyDescent="0.35">
      <c r="A43" s="25" t="s">
        <v>71</v>
      </c>
      <c r="F43" s="40"/>
    </row>
    <row r="44" spans="1:7" s="25" customFormat="1" x14ac:dyDescent="0.35">
      <c r="A44" s="25" t="s">
        <v>72</v>
      </c>
      <c r="F44" s="40"/>
    </row>
    <row r="45" spans="1:7" s="25" customFormat="1" x14ac:dyDescent="0.35">
      <c r="A45" s="25" t="s">
        <v>73</v>
      </c>
      <c r="F45" s="40"/>
    </row>
    <row r="46" spans="1:7" s="25" customFormat="1" x14ac:dyDescent="0.35">
      <c r="A46" s="25" t="s">
        <v>74</v>
      </c>
      <c r="F46" s="40"/>
    </row>
    <row r="47" spans="1:7" s="25" customFormat="1" x14ac:dyDescent="0.35">
      <c r="A47" s="25" t="s">
        <v>75</v>
      </c>
      <c r="F47" s="40"/>
    </row>
    <row r="48" spans="1:7" s="25" customFormat="1" x14ac:dyDescent="0.35">
      <c r="A48" s="86"/>
      <c r="F48" s="40"/>
    </row>
    <row r="49" spans="6:6" s="25" customFormat="1" x14ac:dyDescent="0.35">
      <c r="F49" s="40"/>
    </row>
    <row r="50" spans="6:6" s="25" customFormat="1" x14ac:dyDescent="0.35">
      <c r="F50" s="40"/>
    </row>
  </sheetData>
  <sheetProtection sheet="1" formatCells="0"/>
  <hyperlinks>
    <hyperlink ref="G19" r:id="rId1" xr:uid="{00000000-0004-0000-0100-000000000000}"/>
    <hyperlink ref="G24" r:id="rId2" xr:uid="{00000000-0004-0000-0100-000001000000}"/>
  </hyperlinks>
  <pageMargins left="0.7" right="0.7" top="0.75" bottom="0.75" header="0.3" footer="0.3"/>
  <pageSetup paperSize="9" orientation="portrait" horizontalDpi="4294967293" verticalDpi="0" r:id="rId3"/>
  <ignoredErrors>
    <ignoredError sqref="A2:B2" unlockedFormula="1"/>
  </ignoredErrors>
  <legacyDrawing r:id="rId4"/>
  <extLst>
    <ext xmlns:x14="http://schemas.microsoft.com/office/spreadsheetml/2009/9/main" uri="{CCE6A557-97BC-4b89-ADB6-D9C93CAAB3DF}">
      <x14:dataValidations xmlns:xm="http://schemas.microsoft.com/office/excel/2006/main" count="3">
        <x14:dataValidation type="list" allowBlank="1" showInputMessage="1" showErrorMessage="1" prompt="Valitse tästä" xr:uid="{00000000-0002-0000-0100-000000000000}">
          <x14:formula1>
            <xm:f>Kertoimet!$B$12:$B$16</xm:f>
          </x14:formula1>
          <xm:sqref>B16</xm:sqref>
        </x14:dataValidation>
        <x14:dataValidation type="list" allowBlank="1" showInputMessage="1" showErrorMessage="1" prompt="Valitse tästä" xr:uid="{00000000-0002-0000-0100-000001000000}">
          <x14:formula1>
            <xm:f>Kertoimet!$B$5:$B$8</xm:f>
          </x14:formula1>
          <xm:sqref>B7</xm:sqref>
        </x14:dataValidation>
        <x14:dataValidation type="list" allowBlank="1" showInputMessage="1" showErrorMessage="1" prompt="Valitse tästä" xr:uid="{00000000-0002-0000-0100-000002000000}">
          <x14:formula1>
            <xm:f>Kertoimet!$B$28:$B$29</xm:f>
          </x14:formula1>
          <xm:sqref>B34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57"/>
  <sheetViews>
    <sheetView zoomScaleNormal="100" workbookViewId="0">
      <pane ySplit="1" topLeftCell="A24" activePane="bottomLeft" state="frozen"/>
      <selection pane="bottomLeft" activeCell="C39" sqref="C39"/>
    </sheetView>
  </sheetViews>
  <sheetFormatPr defaultColWidth="8.81640625" defaultRowHeight="14.5" x14ac:dyDescent="0.35"/>
  <cols>
    <col min="1" max="1" width="34.453125" style="16" customWidth="1"/>
    <col min="2" max="2" width="20.453125" style="16" customWidth="1"/>
    <col min="3" max="3" width="15.54296875" style="16" customWidth="1"/>
    <col min="4" max="4" width="13.453125" style="16" customWidth="1"/>
    <col min="5" max="5" width="9.81640625" style="16" customWidth="1"/>
    <col min="6" max="6" width="7" style="78" customWidth="1"/>
    <col min="7" max="7" width="44.54296875" style="45" customWidth="1"/>
    <col min="8" max="8" width="8" style="45" customWidth="1"/>
    <col min="9" max="9" width="8.26953125" style="45" customWidth="1"/>
    <col min="10" max="20" width="8.81640625" style="45"/>
    <col min="21" max="21" width="109.453125" style="45" customWidth="1"/>
    <col min="22" max="16384" width="8.81640625" style="16"/>
  </cols>
  <sheetData>
    <row r="1" spans="1:10" s="27" customFormat="1" ht="18.5" x14ac:dyDescent="0.45">
      <c r="A1" s="7" t="s">
        <v>76</v>
      </c>
      <c r="B1" s="8" t="s">
        <v>77</v>
      </c>
      <c r="F1" s="28"/>
    </row>
    <row r="2" spans="1:10" ht="17" x14ac:dyDescent="0.4">
      <c r="A2" s="65" t="str">
        <f>Info!B2</f>
        <v>Pesäpuu ry</v>
      </c>
      <c r="B2" s="65">
        <f>Info!B4</f>
        <v>2019</v>
      </c>
      <c r="F2" s="72"/>
    </row>
    <row r="3" spans="1:10" ht="17" x14ac:dyDescent="0.4">
      <c r="A3" s="63"/>
      <c r="B3" s="63"/>
      <c r="F3" s="72"/>
    </row>
    <row r="4" spans="1:10" ht="15.5" x14ac:dyDescent="0.35">
      <c r="F4" s="73" t="str">
        <f>Energia!F4</f>
        <v>Lähde</v>
      </c>
      <c r="G4" s="31" t="s">
        <v>19</v>
      </c>
    </row>
    <row r="5" spans="1:10" ht="16.5" x14ac:dyDescent="0.45">
      <c r="A5" s="74" t="s">
        <v>78</v>
      </c>
      <c r="B5" s="21" t="s">
        <v>79</v>
      </c>
      <c r="C5" s="21" t="s">
        <v>23</v>
      </c>
      <c r="F5" s="75"/>
      <c r="G5" s="45" t="s">
        <v>80</v>
      </c>
    </row>
    <row r="6" spans="1:10" ht="18" customHeight="1" x14ac:dyDescent="0.35">
      <c r="A6" s="16" t="str">
        <f>Kertoimet!B33</f>
        <v>Lyhyet lennot, alle 463 km</v>
      </c>
      <c r="B6" s="4"/>
      <c r="C6" s="67">
        <f>B6*Kertoimet!C33/1000</f>
        <v>0</v>
      </c>
      <c r="D6" s="76"/>
      <c r="E6" s="77"/>
      <c r="F6" s="78">
        <v>1</v>
      </c>
      <c r="G6" s="45" t="s">
        <v>81</v>
      </c>
      <c r="J6" s="79" t="s">
        <v>82</v>
      </c>
    </row>
    <row r="7" spans="1:10" ht="18" customHeight="1" x14ac:dyDescent="0.35">
      <c r="A7" s="16" t="str">
        <f>Kertoimet!B34</f>
        <v xml:space="preserve">Pitkät lennot, Eurooppa, yli 463 km </v>
      </c>
      <c r="B7" s="4">
        <f>(8*1030)+1522+(2*1736)+796</f>
        <v>14030</v>
      </c>
      <c r="C7" s="67">
        <f>B7*Kertoimet!C34/1000</f>
        <v>4599.0339999999997</v>
      </c>
      <c r="D7" s="76"/>
      <c r="E7" s="77"/>
      <c r="F7" s="78">
        <v>1</v>
      </c>
      <c r="G7" s="45" t="s">
        <v>83</v>
      </c>
      <c r="H7" s="229"/>
    </row>
    <row r="8" spans="1:10" ht="18" customHeight="1" x14ac:dyDescent="0.35">
      <c r="A8" s="16" t="str">
        <f>Kertoimet!B35</f>
        <v>Kaukolennot</v>
      </c>
      <c r="B8" s="4"/>
      <c r="C8" s="67">
        <f>B8*Kertoimet!C35/1000</f>
        <v>0</v>
      </c>
      <c r="D8" s="76"/>
      <c r="E8" s="77"/>
      <c r="F8" s="78">
        <v>1</v>
      </c>
      <c r="G8" s="45" t="s">
        <v>84</v>
      </c>
    </row>
    <row r="9" spans="1:10" ht="18" customHeight="1" x14ac:dyDescent="0.45">
      <c r="B9" s="20" t="s">
        <v>60</v>
      </c>
      <c r="C9" s="87">
        <f>SUM(C6:C8)</f>
        <v>4599.0339999999997</v>
      </c>
      <c r="D9" s="80" t="s">
        <v>85</v>
      </c>
      <c r="G9" s="45" t="s">
        <v>86</v>
      </c>
    </row>
    <row r="10" spans="1:10" ht="19.5" customHeight="1" x14ac:dyDescent="0.35">
      <c r="C10" s="21"/>
      <c r="G10" s="230" t="s">
        <v>87</v>
      </c>
    </row>
    <row r="11" spans="1:10" ht="15.75" customHeight="1" x14ac:dyDescent="0.35">
      <c r="A11" s="74"/>
      <c r="C11" s="21"/>
      <c r="G11" s="45" t="s">
        <v>88</v>
      </c>
      <c r="H11" s="92" t="s">
        <v>89</v>
      </c>
      <c r="I11" s="92" t="s">
        <v>90</v>
      </c>
    </row>
    <row r="12" spans="1:10" ht="16.5" x14ac:dyDescent="0.45">
      <c r="A12" s="74" t="s">
        <v>91</v>
      </c>
      <c r="B12" s="21" t="s">
        <v>92</v>
      </c>
      <c r="C12" s="21" t="s">
        <v>23</v>
      </c>
      <c r="H12" s="32"/>
      <c r="I12" s="235">
        <f>H12*1.609</f>
        <v>0</v>
      </c>
      <c r="J12" s="82"/>
    </row>
    <row r="13" spans="1:10" ht="18" customHeight="1" x14ac:dyDescent="0.35">
      <c r="A13" s="16" t="str">
        <f>Kertoimet!B39</f>
        <v xml:space="preserve">Ajetut km:t (diesel) </v>
      </c>
      <c r="B13" s="4"/>
      <c r="C13" s="67">
        <f>B13*Kertoimet!C39/1000</f>
        <v>0</v>
      </c>
      <c r="D13" s="176"/>
      <c r="E13" s="77"/>
      <c r="F13" s="78">
        <v>2</v>
      </c>
      <c r="G13" s="45" t="s">
        <v>93</v>
      </c>
    </row>
    <row r="14" spans="1:10" ht="18" customHeight="1" x14ac:dyDescent="0.35">
      <c r="A14" s="16" t="str">
        <f>Kertoimet!B40</f>
        <v>Ajetut km:t (bensiini)</v>
      </c>
      <c r="B14" s="4"/>
      <c r="C14" s="67">
        <f>B14*Kertoimet!C40/1000</f>
        <v>0</v>
      </c>
      <c r="D14" s="176"/>
      <c r="E14" s="77"/>
      <c r="F14" s="78">
        <v>2</v>
      </c>
      <c r="G14" s="45" t="s">
        <v>94</v>
      </c>
    </row>
    <row r="15" spans="1:10" ht="18" customHeight="1" x14ac:dyDescent="0.35">
      <c r="A15" s="16" t="str">
        <f>Kertoimet!B41</f>
        <v>Ajetut km:t (kaasu)</v>
      </c>
      <c r="B15" s="4"/>
      <c r="C15" s="67">
        <f>B15*Kertoimet!C41/1000</f>
        <v>0</v>
      </c>
      <c r="D15" s="83"/>
      <c r="E15" s="77"/>
      <c r="F15" s="78">
        <v>2</v>
      </c>
      <c r="G15" s="45" t="s">
        <v>95</v>
      </c>
    </row>
    <row r="16" spans="1:10" ht="18" customHeight="1" x14ac:dyDescent="0.35">
      <c r="A16" s="16" t="str">
        <f>Kertoimet!B42</f>
        <v xml:space="preserve">Ajetut km:t (p.aine ei tiedossa) </v>
      </c>
      <c r="B16" s="32">
        <v>33667</v>
      </c>
      <c r="C16" s="67">
        <f>B16*Kertoimet!C42/1000</f>
        <v>6184.6279000000004</v>
      </c>
      <c r="D16" s="83"/>
      <c r="E16" s="77"/>
      <c r="F16" s="78">
        <v>2</v>
      </c>
      <c r="G16" s="79" t="s">
        <v>96</v>
      </c>
    </row>
    <row r="17" spans="1:7" ht="18" customHeight="1" x14ac:dyDescent="0.35">
      <c r="A17" s="16" t="str">
        <f>Kertoimet!B43</f>
        <v>Taksi</v>
      </c>
      <c r="B17" s="32">
        <v>1186</v>
      </c>
      <c r="C17" s="67">
        <f>B17*Kertoimet!C43/1000</f>
        <v>217.8682</v>
      </c>
      <c r="D17" s="83"/>
      <c r="E17" s="77"/>
      <c r="F17" s="78">
        <v>2</v>
      </c>
      <c r="G17" s="45" t="s">
        <v>97</v>
      </c>
    </row>
    <row r="18" spans="1:7" ht="18" customHeight="1" thickBot="1" x14ac:dyDescent="0.4">
      <c r="A18" s="16" t="str">
        <f>Kertoimet!B44</f>
        <v>Ajetut km:t (sähköauto)</v>
      </c>
      <c r="B18" s="172"/>
      <c r="C18" s="175" t="str">
        <f>IFERROR(B18*(VLOOKUP(B19,Kertoimet!B45:C47,2,FALSE))/1000,"0")</f>
        <v>0</v>
      </c>
      <c r="D18" s="83"/>
      <c r="E18" s="77"/>
      <c r="F18" s="78">
        <v>2</v>
      </c>
      <c r="G18" s="45" t="s">
        <v>98</v>
      </c>
    </row>
    <row r="19" spans="1:7" ht="18" customHeight="1" thickTop="1" thickBot="1" x14ac:dyDescent="0.4">
      <c r="A19" s="174" t="s">
        <v>99</v>
      </c>
      <c r="B19" s="173" t="s">
        <v>66</v>
      </c>
      <c r="C19" s="13"/>
      <c r="G19" s="45" t="s">
        <v>100</v>
      </c>
    </row>
    <row r="20" spans="1:7" ht="18" customHeight="1" x14ac:dyDescent="0.35">
      <c r="A20" s="171"/>
      <c r="C20" s="13"/>
      <c r="G20" s="45" t="s">
        <v>101</v>
      </c>
    </row>
    <row r="21" spans="1:7" ht="17.25" customHeight="1" x14ac:dyDescent="0.35">
      <c r="A21" s="171" t="s">
        <v>102</v>
      </c>
      <c r="B21" s="32"/>
      <c r="C21" s="155"/>
      <c r="G21" s="81" t="s">
        <v>103</v>
      </c>
    </row>
    <row r="22" spans="1:7" x14ac:dyDescent="0.35">
      <c r="G22" s="45" t="s">
        <v>104</v>
      </c>
    </row>
    <row r="23" spans="1:7" ht="18" customHeight="1" x14ac:dyDescent="0.45">
      <c r="B23" s="20" t="s">
        <v>60</v>
      </c>
      <c r="C23" s="87">
        <f>SUM(C13:C18)</f>
        <v>6402.4961000000003</v>
      </c>
      <c r="D23" s="80" t="s">
        <v>85</v>
      </c>
    </row>
    <row r="24" spans="1:7" x14ac:dyDescent="0.35">
      <c r="D24" s="77"/>
      <c r="E24" s="77"/>
      <c r="G24" s="81" t="s">
        <v>105</v>
      </c>
    </row>
    <row r="25" spans="1:7" x14ac:dyDescent="0.35">
      <c r="A25" s="74" t="s">
        <v>106</v>
      </c>
      <c r="B25" s="74" t="s">
        <v>107</v>
      </c>
      <c r="D25" s="77"/>
      <c r="E25" s="77"/>
      <c r="G25" s="81" t="s">
        <v>108</v>
      </c>
    </row>
    <row r="26" spans="1:7" ht="18" customHeight="1" x14ac:dyDescent="0.35">
      <c r="A26" s="16" t="str">
        <f>Kertoimet!B51</f>
        <v>Bussi (kaukoliikenne) km:t</v>
      </c>
      <c r="B26" s="4">
        <v>14000</v>
      </c>
      <c r="C26" s="67">
        <f>B26*Kertoimet!C51/1000</f>
        <v>908.59999999999991</v>
      </c>
      <c r="E26" s="77"/>
      <c r="F26" s="78">
        <v>2</v>
      </c>
      <c r="G26" s="82"/>
    </row>
    <row r="27" spans="1:7" ht="18" customHeight="1" x14ac:dyDescent="0.35">
      <c r="A27" s="16" t="str">
        <f>Kertoimet!B52</f>
        <v>Juna (kaukoliikenne) km:t</v>
      </c>
      <c r="B27" s="4">
        <v>168000</v>
      </c>
      <c r="C27" s="67">
        <f>B27*Kertoimet!C52/1000</f>
        <v>262.08</v>
      </c>
      <c r="E27" s="77"/>
      <c r="F27" s="78">
        <v>2</v>
      </c>
      <c r="G27" s="45" t="s">
        <v>109</v>
      </c>
    </row>
    <row r="28" spans="1:7" ht="18" customHeight="1" x14ac:dyDescent="0.35">
      <c r="A28" s="16" t="str">
        <f>Kertoimet!B53</f>
        <v>Paikallisliikenne (Helsinki) km:t</v>
      </c>
      <c r="B28" s="4">
        <v>1300</v>
      </c>
      <c r="C28" s="67">
        <f>B28*Kertoimet!C53/1000</f>
        <v>4.0611999999999995</v>
      </c>
      <c r="E28" s="77"/>
      <c r="F28" s="78">
        <v>3</v>
      </c>
      <c r="G28" s="81" t="s">
        <v>110</v>
      </c>
    </row>
    <row r="29" spans="1:7" ht="18" customHeight="1" x14ac:dyDescent="0.35">
      <c r="A29" s="16" t="str">
        <f>Kertoimet!B54</f>
        <v>Paikallisliikenne (bussit) km:t</v>
      </c>
      <c r="B29" s="4">
        <v>500</v>
      </c>
      <c r="C29" s="67">
        <f>B29*Kertoimet!C54/1000</f>
        <v>32.449999999999996</v>
      </c>
      <c r="E29" s="77"/>
      <c r="F29" s="78">
        <v>2</v>
      </c>
      <c r="G29" s="45" t="s">
        <v>111</v>
      </c>
    </row>
    <row r="30" spans="1:7" ht="16.5" x14ac:dyDescent="0.45">
      <c r="A30" s="13"/>
      <c r="B30" s="20" t="s">
        <v>60</v>
      </c>
      <c r="C30" s="87">
        <f>SUM(C26:C29)</f>
        <v>1207.1912</v>
      </c>
      <c r="D30" s="80" t="s">
        <v>85</v>
      </c>
      <c r="G30" s="45" t="s">
        <v>112</v>
      </c>
    </row>
    <row r="31" spans="1:7" x14ac:dyDescent="0.35">
      <c r="A31" s="13"/>
      <c r="B31" s="20"/>
      <c r="C31" s="121"/>
      <c r="D31" s="80"/>
    </row>
    <row r="32" spans="1:7" ht="18" customHeight="1" x14ac:dyDescent="0.45">
      <c r="A32" s="21" t="s">
        <v>113</v>
      </c>
      <c r="B32" s="4"/>
      <c r="C32" s="88">
        <f>B32*Kertoimet!C57/1000</f>
        <v>0</v>
      </c>
      <c r="D32" s="80" t="s">
        <v>85</v>
      </c>
      <c r="F32" s="78">
        <v>2</v>
      </c>
      <c r="G32" s="81" t="s">
        <v>114</v>
      </c>
    </row>
    <row r="33" spans="1:7" x14ac:dyDescent="0.35">
      <c r="C33" s="80"/>
    </row>
    <row r="34" spans="1:7" ht="16.5" x14ac:dyDescent="0.45">
      <c r="A34" s="74" t="s">
        <v>115</v>
      </c>
      <c r="B34" s="21" t="s">
        <v>116</v>
      </c>
      <c r="C34" s="21" t="s">
        <v>23</v>
      </c>
      <c r="G34" s="45" t="s">
        <v>117</v>
      </c>
    </row>
    <row r="35" spans="1:7" ht="18" customHeight="1" x14ac:dyDescent="0.35">
      <c r="A35" s="16" t="str">
        <f>Kertoimet!B60</f>
        <v>Autolautta/risteilyalus</v>
      </c>
      <c r="B35" s="4"/>
      <c r="C35" s="88">
        <f>B35*Kertoimet!C60/1000</f>
        <v>0</v>
      </c>
      <c r="D35" s="77"/>
      <c r="E35" s="80"/>
      <c r="F35" s="78">
        <v>4</v>
      </c>
      <c r="G35" s="45" t="s">
        <v>118</v>
      </c>
    </row>
    <row r="36" spans="1:7" x14ac:dyDescent="0.35">
      <c r="G36" s="45" t="s">
        <v>119</v>
      </c>
    </row>
    <row r="37" spans="1:7" ht="16.5" x14ac:dyDescent="0.45">
      <c r="B37" s="21" t="s">
        <v>120</v>
      </c>
      <c r="C37" s="201" t="s">
        <v>121</v>
      </c>
      <c r="D37" s="21" t="s">
        <v>23</v>
      </c>
    </row>
    <row r="38" spans="1:7" ht="18" customHeight="1" x14ac:dyDescent="0.35">
      <c r="A38" s="80" t="str">
        <f>Kertoimet!B63</f>
        <v>Hotelliyöpymiset</v>
      </c>
      <c r="B38" s="4">
        <v>280</v>
      </c>
      <c r="C38" s="200">
        <v>100</v>
      </c>
      <c r="D38" s="89">
        <f>B38*C38*Kertoimet!C64/1000</f>
        <v>14000</v>
      </c>
      <c r="E38" s="80"/>
      <c r="F38" s="84">
        <v>5</v>
      </c>
      <c r="G38" s="45" t="s">
        <v>122</v>
      </c>
    </row>
    <row r="41" spans="1:7" ht="16" thickBot="1" x14ac:dyDescent="0.4">
      <c r="D41" s="23" t="s">
        <v>68</v>
      </c>
    </row>
    <row r="42" spans="1:7" ht="17" thickBot="1" x14ac:dyDescent="0.5">
      <c r="A42" s="41" t="s">
        <v>123</v>
      </c>
      <c r="B42" s="85"/>
      <c r="C42" s="38"/>
      <c r="D42" s="90">
        <f>C9+C23+C30+C32+C35+D38</f>
        <v>26208.721299999997</v>
      </c>
      <c r="E42" s="85" t="s">
        <v>85</v>
      </c>
    </row>
    <row r="48" spans="1:7" s="25" customFormat="1" x14ac:dyDescent="0.35">
      <c r="A48" s="25" t="s">
        <v>71</v>
      </c>
      <c r="F48" s="40"/>
    </row>
    <row r="49" spans="1:6" s="25" customFormat="1" x14ac:dyDescent="0.35">
      <c r="A49" s="25" t="s">
        <v>124</v>
      </c>
      <c r="F49" s="40"/>
    </row>
    <row r="50" spans="1:6" s="25" customFormat="1" x14ac:dyDescent="0.35">
      <c r="A50" s="86" t="s">
        <v>125</v>
      </c>
      <c r="F50" s="40"/>
    </row>
    <row r="51" spans="1:6" s="25" customFormat="1" x14ac:dyDescent="0.35">
      <c r="A51" s="86" t="s">
        <v>126</v>
      </c>
      <c r="F51" s="40"/>
    </row>
    <row r="52" spans="1:6" s="25" customFormat="1" x14ac:dyDescent="0.35">
      <c r="A52" s="25" t="s">
        <v>127</v>
      </c>
      <c r="F52" s="40"/>
    </row>
    <row r="53" spans="1:6" s="25" customFormat="1" x14ac:dyDescent="0.35">
      <c r="A53" s="86" t="s">
        <v>128</v>
      </c>
      <c r="F53" s="40"/>
    </row>
    <row r="54" spans="1:6" s="25" customFormat="1" x14ac:dyDescent="0.35">
      <c r="F54" s="40"/>
    </row>
    <row r="55" spans="1:6" s="25" customFormat="1" x14ac:dyDescent="0.35">
      <c r="F55" s="40"/>
    </row>
    <row r="56" spans="1:6" s="25" customFormat="1" x14ac:dyDescent="0.35">
      <c r="F56" s="40"/>
    </row>
    <row r="57" spans="1:6" s="25" customFormat="1" x14ac:dyDescent="0.35">
      <c r="F57" s="40"/>
    </row>
  </sheetData>
  <sheetProtection sheet="1" objects="1" scenarios="1" formatCells="0"/>
  <hyperlinks>
    <hyperlink ref="J6" r:id="rId1" xr:uid="{00000000-0004-0000-0200-000000000000}"/>
    <hyperlink ref="G16" r:id="rId2" xr:uid="{00000000-0004-0000-0200-000001000000}"/>
  </hyperlinks>
  <pageMargins left="0.7" right="0.7" top="0.75" bottom="0.75" header="0.3" footer="0.3"/>
  <pageSetup paperSize="9" orientation="portrait" r:id="rId3"/>
  <ignoredErrors>
    <ignoredError sqref="F4" unlockedFormula="1"/>
  </ignoredErrors>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prompt="Valitse tästä" xr:uid="{00000000-0002-0000-0200-000000000000}">
          <x14:formula1>
            <xm:f>Kertoimet!$B$45:$B$47</xm:f>
          </x14:formula1>
          <xm:sqref>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54"/>
  <sheetViews>
    <sheetView workbookViewId="0">
      <pane ySplit="1" topLeftCell="A12" activePane="bottomLeft" state="frozen"/>
      <selection pane="bottomLeft" activeCell="E12" sqref="E12"/>
    </sheetView>
  </sheetViews>
  <sheetFormatPr defaultColWidth="9.1796875" defaultRowHeight="14.5" x14ac:dyDescent="0.35"/>
  <cols>
    <col min="1" max="1" width="35.81640625" style="16" customWidth="1"/>
    <col min="2" max="2" width="20.453125" style="16" customWidth="1"/>
    <col min="3" max="3" width="15.54296875" style="16" customWidth="1"/>
    <col min="4" max="4" width="11.54296875" style="16" customWidth="1"/>
    <col min="5" max="5" width="9.81640625" style="16" customWidth="1"/>
    <col min="6" max="6" width="7" style="78" customWidth="1"/>
    <col min="7" max="7" width="15.81640625" style="45" customWidth="1"/>
    <col min="8" max="8" width="14.453125" style="45" customWidth="1"/>
    <col min="9" max="9" width="12.54296875" style="45" customWidth="1"/>
    <col min="10" max="35" width="9.1796875" style="45"/>
    <col min="36" max="16384" width="9.1796875" style="16"/>
  </cols>
  <sheetData>
    <row r="1" spans="1:9" s="27" customFormat="1" ht="18.5" x14ac:dyDescent="0.45">
      <c r="A1" s="7" t="s">
        <v>129</v>
      </c>
      <c r="B1" s="8" t="s">
        <v>130</v>
      </c>
      <c r="E1" s="28"/>
      <c r="F1" s="28"/>
    </row>
    <row r="2" spans="1:9" ht="17" x14ac:dyDescent="0.4">
      <c r="A2" s="65" t="str">
        <f>Info!B2</f>
        <v>Pesäpuu ry</v>
      </c>
      <c r="B2" s="65">
        <f>Info!B4</f>
        <v>2019</v>
      </c>
      <c r="E2" s="42"/>
    </row>
    <row r="3" spans="1:9" ht="15.75" customHeight="1" x14ac:dyDescent="0.4">
      <c r="A3" s="64"/>
      <c r="B3" s="64"/>
      <c r="E3" s="42"/>
    </row>
    <row r="4" spans="1:9" ht="15.5" x14ac:dyDescent="0.35">
      <c r="F4" s="91" t="str">
        <f>Energia!F4</f>
        <v>Lähde</v>
      </c>
      <c r="G4" s="29" t="s">
        <v>19</v>
      </c>
    </row>
    <row r="5" spans="1:9" ht="16.5" x14ac:dyDescent="0.45">
      <c r="A5" s="74" t="s">
        <v>131</v>
      </c>
      <c r="B5" s="21" t="s">
        <v>132</v>
      </c>
      <c r="C5" s="21" t="s">
        <v>23</v>
      </c>
      <c r="H5" s="92"/>
    </row>
    <row r="6" spans="1:9" ht="18" customHeight="1" x14ac:dyDescent="0.35">
      <c r="A6" s="16" t="str">
        <f>Kertoimet!B67</f>
        <v>Sekajäte</v>
      </c>
      <c r="B6" s="32">
        <f>((60/200)*I12)*48</f>
        <v>230.39999999999998</v>
      </c>
      <c r="C6" s="67">
        <f>B6*Kertoimet!C67/1000</f>
        <v>94.463999999999984</v>
      </c>
      <c r="D6" s="77"/>
      <c r="E6" s="77"/>
      <c r="F6" s="78">
        <v>1</v>
      </c>
      <c r="G6" s="45" t="s">
        <v>133</v>
      </c>
    </row>
    <row r="7" spans="1:9" ht="18" customHeight="1" x14ac:dyDescent="0.35">
      <c r="A7" s="16" t="str">
        <f>Kertoimet!B68</f>
        <v>Biojäte</v>
      </c>
      <c r="B7" s="32">
        <f>((50/140)*I14)*48</f>
        <v>240</v>
      </c>
      <c r="C7" s="67">
        <f>B7*Kertoimet!C68/1000</f>
        <v>14.4</v>
      </c>
      <c r="D7" s="77"/>
      <c r="E7" s="77"/>
      <c r="F7" s="78">
        <v>1</v>
      </c>
    </row>
    <row r="8" spans="1:9" ht="18" customHeight="1" x14ac:dyDescent="0.35">
      <c r="A8" s="16" t="s">
        <v>134</v>
      </c>
      <c r="B8" s="32"/>
      <c r="C8" s="67">
        <f>B8*Kertoimet!C69/1000</f>
        <v>0</v>
      </c>
      <c r="D8" s="77"/>
      <c r="E8" s="77"/>
      <c r="F8" s="78">
        <v>1</v>
      </c>
      <c r="G8" s="45" t="s">
        <v>135</v>
      </c>
    </row>
    <row r="9" spans="1:9" ht="18" customHeight="1" x14ac:dyDescent="0.35">
      <c r="A9" s="16" t="str">
        <f>Kertoimet!B70</f>
        <v>Kartonki ja pahvi</v>
      </c>
      <c r="B9" s="32">
        <v>75</v>
      </c>
      <c r="C9" s="67">
        <f>B9*Kertoimet!C70/1000</f>
        <v>5.25</v>
      </c>
      <c r="D9" s="77"/>
      <c r="E9" s="77"/>
      <c r="F9" s="78">
        <v>1</v>
      </c>
      <c r="G9" s="45" t="s">
        <v>136</v>
      </c>
    </row>
    <row r="10" spans="1:9" ht="18" customHeight="1" x14ac:dyDescent="0.35">
      <c r="A10" s="16" t="str">
        <f>Kertoimet!B71</f>
        <v>Lasi</v>
      </c>
      <c r="B10" s="32"/>
      <c r="C10" s="67">
        <f>B10*Kertoimet!C71/1000</f>
        <v>0</v>
      </c>
      <c r="E10" s="77"/>
      <c r="F10" s="78">
        <v>1</v>
      </c>
      <c r="G10" s="45" t="s">
        <v>137</v>
      </c>
    </row>
    <row r="11" spans="1:9" ht="18" customHeight="1" x14ac:dyDescent="0.35">
      <c r="A11" s="16" t="str">
        <f>Kertoimet!B72</f>
        <v>Metalli</v>
      </c>
      <c r="B11" s="32"/>
      <c r="C11" s="67">
        <f>B11*Kertoimet!C72/1000</f>
        <v>0</v>
      </c>
      <c r="E11" s="77"/>
      <c r="F11" s="78">
        <v>1</v>
      </c>
      <c r="G11" s="93" t="s">
        <v>138</v>
      </c>
      <c r="H11" s="93" t="s">
        <v>139</v>
      </c>
      <c r="I11" s="93" t="s">
        <v>140</v>
      </c>
    </row>
    <row r="12" spans="1:9" ht="18" customHeight="1" thickBot="1" x14ac:dyDescent="0.4">
      <c r="A12" s="16" t="str">
        <f>Kertoimet!B73</f>
        <v>Muovi</v>
      </c>
      <c r="B12" s="32"/>
      <c r="C12" s="67">
        <f>B12*Kertoimet!C73/1000</f>
        <v>0</v>
      </c>
      <c r="E12" s="77"/>
      <c r="F12" s="78">
        <v>1</v>
      </c>
      <c r="G12" s="94" t="s">
        <v>141</v>
      </c>
      <c r="H12" s="95" t="s">
        <v>142</v>
      </c>
      <c r="I12" s="104">
        <f>IFERROR((VLOOKUP(H12,B43:C45,2,FALSE)),"Valitse H11")</f>
        <v>16</v>
      </c>
    </row>
    <row r="13" spans="1:9" ht="18" customHeight="1" thickBot="1" x14ac:dyDescent="0.4">
      <c r="A13" s="16" t="str">
        <f>Kertoimet!B74</f>
        <v>Paperi</v>
      </c>
      <c r="B13" s="238">
        <f>(700/660)*250</f>
        <v>265.15151515151513</v>
      </c>
      <c r="C13" s="67">
        <f>B13*Kertoimet!C74/1000</f>
        <v>278.40909090909088</v>
      </c>
      <c r="E13" s="77"/>
      <c r="F13" s="78">
        <v>1</v>
      </c>
      <c r="G13" s="96" t="s">
        <v>143</v>
      </c>
      <c r="H13" s="95" t="s">
        <v>144</v>
      </c>
      <c r="I13" s="105">
        <f>IFERROR((VLOOKUP(H13,B46:C48,2,FALSE)),"Valitse H12")</f>
        <v>250</v>
      </c>
    </row>
    <row r="14" spans="1:9" ht="18" customHeight="1" thickBot="1" x14ac:dyDescent="0.4">
      <c r="A14" s="16" t="str">
        <f>Kertoimet!B75</f>
        <v>Sähkölaitteet (kierrätykseen)</v>
      </c>
      <c r="B14" s="32"/>
      <c r="C14" s="67">
        <f>B14*Kertoimet!C75/1000</f>
        <v>0</v>
      </c>
      <c r="E14" s="77"/>
      <c r="F14" s="78">
        <v>2</v>
      </c>
      <c r="G14" s="96" t="s">
        <v>145</v>
      </c>
      <c r="H14" s="95" t="s">
        <v>146</v>
      </c>
      <c r="I14" s="105">
        <f>IFERROR((VLOOKUP(H14,B49:C50,2,FALSE)),"Valitse H13")</f>
        <v>14</v>
      </c>
    </row>
    <row r="15" spans="1:9" ht="18" customHeight="1" thickBot="1" x14ac:dyDescent="0.4">
      <c r="A15" s="16" t="str">
        <f>Kertoimet!B76</f>
        <v>Vaarallinen jäte</v>
      </c>
      <c r="B15" s="32"/>
      <c r="C15" s="67">
        <f>B15*Kertoimet!C76/1000</f>
        <v>0</v>
      </c>
      <c r="E15" s="80"/>
      <c r="F15" s="17">
        <v>3</v>
      </c>
      <c r="G15" s="96" t="s">
        <v>147</v>
      </c>
      <c r="H15" s="95" t="s">
        <v>66</v>
      </c>
      <c r="I15" s="105" t="str">
        <f>IFERROR((VLOOKUP(H15,B51:C52,2,FALSE)),"Valitse H14")</f>
        <v>Valitse H14</v>
      </c>
    </row>
    <row r="16" spans="1:9" ht="18" customHeight="1" thickBot="1" x14ac:dyDescent="0.4">
      <c r="A16" s="16" t="str">
        <f>Kertoimet!B77</f>
        <v>Muu jäte</v>
      </c>
      <c r="B16" s="32"/>
      <c r="C16" s="67">
        <f>B16*Kertoimet!C77/1000</f>
        <v>0</v>
      </c>
      <c r="E16" s="80"/>
      <c r="F16" s="17"/>
      <c r="G16" s="96" t="s">
        <v>134</v>
      </c>
      <c r="H16" s="95" t="s">
        <v>66</v>
      </c>
      <c r="I16" s="105" t="str">
        <f>IFERROR((VLOOKUP(H16,B53:C54,2,FALSE)),"Valitse H15")</f>
        <v>Valitse H15</v>
      </c>
    </row>
    <row r="17" spans="1:9" ht="18" customHeight="1" x14ac:dyDescent="0.45">
      <c r="B17" s="97" t="s">
        <v>148</v>
      </c>
      <c r="C17" s="106">
        <f>SUM(C6:C16)</f>
        <v>392.52309090909085</v>
      </c>
      <c r="D17" s="80" t="s">
        <v>85</v>
      </c>
      <c r="G17" s="233" t="s">
        <v>149</v>
      </c>
      <c r="H17" s="99"/>
      <c r="I17" s="99"/>
    </row>
    <row r="18" spans="1:9" ht="18" customHeight="1" x14ac:dyDescent="0.35">
      <c r="C18" s="97"/>
      <c r="D18" s="98"/>
      <c r="E18" s="80"/>
    </row>
    <row r="19" spans="1:9" ht="32.25" customHeight="1" x14ac:dyDescent="0.35">
      <c r="A19" s="100" t="s">
        <v>150</v>
      </c>
      <c r="B19" s="101"/>
      <c r="C19" s="97"/>
      <c r="D19" s="80"/>
      <c r="G19" s="99"/>
      <c r="H19" s="99"/>
      <c r="I19" s="99"/>
    </row>
    <row r="20" spans="1:9" ht="16" thickBot="1" x14ac:dyDescent="0.4">
      <c r="D20" s="23" t="s">
        <v>68</v>
      </c>
      <c r="G20" s="45" t="s">
        <v>151</v>
      </c>
    </row>
    <row r="21" spans="1:9" ht="17" thickBot="1" x14ac:dyDescent="0.5">
      <c r="A21" s="41" t="s">
        <v>152</v>
      </c>
      <c r="B21" s="85"/>
      <c r="C21" s="38"/>
      <c r="D21" s="90">
        <f>C17</f>
        <v>392.52309090909085</v>
      </c>
      <c r="E21" s="85" t="s">
        <v>85</v>
      </c>
      <c r="H21" s="79" t="s">
        <v>153</v>
      </c>
    </row>
    <row r="22" spans="1:9" x14ac:dyDescent="0.35">
      <c r="G22" s="45" t="s">
        <v>154</v>
      </c>
    </row>
    <row r="23" spans="1:9" x14ac:dyDescent="0.35">
      <c r="G23" s="81" t="s">
        <v>155</v>
      </c>
    </row>
    <row r="24" spans="1:9" ht="16.5" x14ac:dyDescent="0.45">
      <c r="G24" s="45" t="s">
        <v>156</v>
      </c>
    </row>
    <row r="27" spans="1:9" s="25" customFormat="1" x14ac:dyDescent="0.35">
      <c r="A27" s="25" t="s">
        <v>71</v>
      </c>
      <c r="F27" s="40"/>
    </row>
    <row r="28" spans="1:9" s="25" customFormat="1" x14ac:dyDescent="0.35">
      <c r="A28" s="25" t="s">
        <v>157</v>
      </c>
      <c r="F28" s="40"/>
    </row>
    <row r="29" spans="1:9" s="25" customFormat="1" x14ac:dyDescent="0.35">
      <c r="A29" s="25" t="s">
        <v>158</v>
      </c>
      <c r="F29" s="40"/>
    </row>
    <row r="30" spans="1:9" s="25" customFormat="1" x14ac:dyDescent="0.35">
      <c r="A30" s="25" t="s">
        <v>159</v>
      </c>
      <c r="F30" s="40"/>
    </row>
    <row r="31" spans="1:9" s="25" customFormat="1" x14ac:dyDescent="0.35">
      <c r="F31" s="40"/>
    </row>
    <row r="32" spans="1:9" s="25" customFormat="1" x14ac:dyDescent="0.35">
      <c r="F32" s="40"/>
    </row>
    <row r="33" spans="1:6" s="25" customFormat="1" x14ac:dyDescent="0.35">
      <c r="F33" s="40"/>
    </row>
    <row r="42" spans="1:6" x14ac:dyDescent="0.35">
      <c r="A42" s="16" t="s">
        <v>138</v>
      </c>
      <c r="B42" s="16" t="s">
        <v>139</v>
      </c>
      <c r="C42" s="16" t="s">
        <v>160</v>
      </c>
    </row>
    <row r="43" spans="1:6" x14ac:dyDescent="0.35">
      <c r="A43" s="102" t="s">
        <v>141</v>
      </c>
      <c r="B43" s="102" t="s">
        <v>142</v>
      </c>
      <c r="C43" s="236">
        <v>16</v>
      </c>
    </row>
    <row r="44" spans="1:6" x14ac:dyDescent="0.35">
      <c r="B44" s="16" t="s">
        <v>161</v>
      </c>
      <c r="C44">
        <v>34</v>
      </c>
    </row>
    <row r="45" spans="1:6" x14ac:dyDescent="0.35">
      <c r="B45" s="16" t="s">
        <v>162</v>
      </c>
      <c r="C45">
        <v>100</v>
      </c>
    </row>
    <row r="46" spans="1:6" x14ac:dyDescent="0.35">
      <c r="A46" s="102" t="s">
        <v>143</v>
      </c>
      <c r="B46" s="102" t="s">
        <v>146</v>
      </c>
      <c r="C46" s="236">
        <v>50</v>
      </c>
    </row>
    <row r="47" spans="1:6" x14ac:dyDescent="0.35">
      <c r="B47" s="16" t="s">
        <v>163</v>
      </c>
      <c r="C47">
        <v>80</v>
      </c>
    </row>
    <row r="48" spans="1:6" x14ac:dyDescent="0.35">
      <c r="B48" s="16" t="s">
        <v>144</v>
      </c>
      <c r="C48">
        <v>250</v>
      </c>
    </row>
    <row r="49" spans="1:3" x14ac:dyDescent="0.35">
      <c r="A49" s="102" t="s">
        <v>145</v>
      </c>
      <c r="B49" s="102" t="s">
        <v>146</v>
      </c>
      <c r="C49" s="236">
        <v>14</v>
      </c>
    </row>
    <row r="50" spans="1:3" x14ac:dyDescent="0.35">
      <c r="B50" s="16" t="s">
        <v>163</v>
      </c>
      <c r="C50">
        <v>24</v>
      </c>
    </row>
    <row r="51" spans="1:3" x14ac:dyDescent="0.35">
      <c r="A51" s="102" t="s">
        <v>147</v>
      </c>
      <c r="B51" s="102" t="s">
        <v>164</v>
      </c>
      <c r="C51" s="236">
        <v>150</v>
      </c>
    </row>
    <row r="52" spans="1:3" x14ac:dyDescent="0.35">
      <c r="B52" s="103" t="s">
        <v>165</v>
      </c>
      <c r="C52" s="209">
        <v>200</v>
      </c>
    </row>
    <row r="53" spans="1:3" x14ac:dyDescent="0.35">
      <c r="A53" s="102" t="s">
        <v>134</v>
      </c>
      <c r="B53" s="16" t="s">
        <v>165</v>
      </c>
      <c r="C53">
        <v>14.4</v>
      </c>
    </row>
    <row r="54" spans="1:3" x14ac:dyDescent="0.35">
      <c r="B54" s="16" t="s">
        <v>166</v>
      </c>
      <c r="C54">
        <v>19.2</v>
      </c>
    </row>
  </sheetData>
  <sheetProtection sheet="1" formatCells="0"/>
  <dataValidations count="6">
    <dataValidation type="list" allowBlank="1" showInputMessage="1" showErrorMessage="1" prompt="Valitse tästä" sqref="H17" xr:uid="{00000000-0002-0000-0300-000000000000}">
      <formula1>$B$53:$B$54</formula1>
    </dataValidation>
    <dataValidation type="list" allowBlank="1" showInputMessage="1" showErrorMessage="1" sqref="H12" xr:uid="{00000000-0002-0000-0300-000001000000}">
      <formula1>$B$43:$B$45</formula1>
    </dataValidation>
    <dataValidation type="list" allowBlank="1" showInputMessage="1" showErrorMessage="1" sqref="H13" xr:uid="{00000000-0002-0000-0300-000002000000}">
      <formula1>$B$46:$B$48</formula1>
    </dataValidation>
    <dataValidation type="list" allowBlank="1" showInputMessage="1" showErrorMessage="1" sqref="H14" xr:uid="{00000000-0002-0000-0300-000003000000}">
      <formula1>$B$49:$B$50</formula1>
    </dataValidation>
    <dataValidation type="list" allowBlank="1" showInputMessage="1" showErrorMessage="1" sqref="H15" xr:uid="{00000000-0002-0000-0300-000004000000}">
      <formula1>$B$51:$B$52</formula1>
    </dataValidation>
    <dataValidation type="list" allowBlank="1" showInputMessage="1" showErrorMessage="1" sqref="H16" xr:uid="{00000000-0002-0000-0300-000005000000}">
      <formula1>$B$53:$B$54</formula1>
    </dataValidation>
  </dataValidations>
  <hyperlinks>
    <hyperlink ref="H21" r:id="rId1" xr:uid="{00000000-0004-0000-0300-000000000000}"/>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42"/>
  <sheetViews>
    <sheetView workbookViewId="0">
      <pane ySplit="1" topLeftCell="A14" activePane="bottomLeft" state="frozen"/>
      <selection pane="bottomLeft" activeCell="F23" sqref="F23"/>
    </sheetView>
  </sheetViews>
  <sheetFormatPr defaultColWidth="9.1796875" defaultRowHeight="14.5" x14ac:dyDescent="0.35"/>
  <cols>
    <col min="1" max="1" width="39.453125" style="16" customWidth="1"/>
    <col min="2" max="2" width="21.453125" style="16" customWidth="1"/>
    <col min="3" max="3" width="15.54296875" style="16" customWidth="1"/>
    <col min="4" max="4" width="10.1796875" style="16" customWidth="1"/>
    <col min="5" max="5" width="9.54296875" style="16" customWidth="1"/>
    <col min="6" max="6" width="7" style="107" customWidth="1"/>
    <col min="7" max="7" width="17.1796875" style="14" customWidth="1"/>
    <col min="8" max="42" width="9.1796875" style="45"/>
    <col min="43" max="16384" width="9.1796875" style="16"/>
  </cols>
  <sheetData>
    <row r="1" spans="1:10" s="27" customFormat="1" ht="18.5" x14ac:dyDescent="0.45">
      <c r="A1" s="7" t="s">
        <v>167</v>
      </c>
      <c r="B1" s="8" t="s">
        <v>168</v>
      </c>
      <c r="E1" s="28"/>
      <c r="F1" s="28"/>
    </row>
    <row r="2" spans="1:10" ht="17" x14ac:dyDescent="0.4">
      <c r="A2" s="65" t="str">
        <f>Info!B2</f>
        <v>Pesäpuu ry</v>
      </c>
      <c r="B2" s="65">
        <f>Info!B4</f>
        <v>2019</v>
      </c>
      <c r="G2" s="108"/>
    </row>
    <row r="3" spans="1:10" ht="15.5" x14ac:dyDescent="0.35">
      <c r="F3" s="109" t="str">
        <f>Energia!F4</f>
        <v>Lähde</v>
      </c>
      <c r="G3" s="29" t="s">
        <v>19</v>
      </c>
    </row>
    <row r="4" spans="1:10" x14ac:dyDescent="0.35">
      <c r="G4" s="14" t="s">
        <v>169</v>
      </c>
    </row>
    <row r="5" spans="1:10" ht="18" customHeight="1" x14ac:dyDescent="0.45">
      <c r="A5" s="74" t="s">
        <v>143</v>
      </c>
      <c r="B5" s="21" t="s">
        <v>170</v>
      </c>
      <c r="C5" s="21" t="s">
        <v>23</v>
      </c>
      <c r="G5" s="14" t="s">
        <v>171</v>
      </c>
    </row>
    <row r="6" spans="1:10" ht="18" customHeight="1" x14ac:dyDescent="0.35">
      <c r="A6" s="16" t="str">
        <f>Kertoimet!B81</f>
        <v>Tavallinen paperi</v>
      </c>
      <c r="B6" s="32">
        <v>250</v>
      </c>
      <c r="C6" s="67">
        <f>B6*Kertoimet!C81/1000</f>
        <v>226.25</v>
      </c>
      <c r="D6" s="77"/>
      <c r="E6" s="77"/>
      <c r="F6" s="107">
        <v>1</v>
      </c>
      <c r="G6" s="14" t="s">
        <v>172</v>
      </c>
    </row>
    <row r="7" spans="1:10" ht="18" customHeight="1" x14ac:dyDescent="0.35">
      <c r="A7" s="16" t="str">
        <f>Kertoimet!B82</f>
        <v>Kierrätyspaperi</v>
      </c>
      <c r="B7" s="32"/>
      <c r="C7" s="67">
        <f>B7*Kertoimet!C82/1000</f>
        <v>0</v>
      </c>
      <c r="E7" s="77"/>
      <c r="F7" s="107">
        <v>1</v>
      </c>
      <c r="G7" s="29" t="s">
        <v>173</v>
      </c>
      <c r="J7" s="45" t="s">
        <v>174</v>
      </c>
    </row>
    <row r="8" spans="1:10" ht="16.5" x14ac:dyDescent="0.45">
      <c r="B8" s="80" t="s">
        <v>148</v>
      </c>
      <c r="C8" s="106">
        <f>SUM(C6:C7)</f>
        <v>226.25</v>
      </c>
      <c r="D8" s="80" t="s">
        <v>85</v>
      </c>
      <c r="G8" s="14" t="s">
        <v>175</v>
      </c>
      <c r="H8" s="45" t="s">
        <v>176</v>
      </c>
    </row>
    <row r="9" spans="1:10" x14ac:dyDescent="0.35">
      <c r="C9" s="80"/>
      <c r="G9" s="32">
        <v>100</v>
      </c>
      <c r="H9" s="111">
        <f>G9*2.5</f>
        <v>250</v>
      </c>
    </row>
    <row r="10" spans="1:10" x14ac:dyDescent="0.35">
      <c r="C10" s="80"/>
      <c r="G10" s="29" t="s">
        <v>177</v>
      </c>
    </row>
    <row r="11" spans="1:10" x14ac:dyDescent="0.35">
      <c r="C11" s="80"/>
      <c r="G11" s="14" t="s">
        <v>178</v>
      </c>
      <c r="H11" s="45" t="s">
        <v>176</v>
      </c>
    </row>
    <row r="12" spans="1:10" ht="16.5" x14ac:dyDescent="0.45">
      <c r="A12" s="74" t="str">
        <f>Kertoimet!B84</f>
        <v>Kalusteet ja laitteet</v>
      </c>
      <c r="B12" s="21" t="s">
        <v>179</v>
      </c>
      <c r="C12" s="21" t="s">
        <v>23</v>
      </c>
      <c r="G12" s="32"/>
      <c r="H12" s="111">
        <f>(G12*2.5)/500</f>
        <v>0</v>
      </c>
    </row>
    <row r="13" spans="1:10" ht="18" customHeight="1" x14ac:dyDescent="0.35">
      <c r="A13" s="16" t="str">
        <f>Kertoimet!B85</f>
        <v>Matkapuhelin</v>
      </c>
      <c r="B13" s="32">
        <v>6</v>
      </c>
      <c r="C13" s="67">
        <f>B13*Kertoimet!C85/1000</f>
        <v>351</v>
      </c>
      <c r="D13" s="77"/>
      <c r="E13" s="77"/>
      <c r="F13" s="107">
        <v>2</v>
      </c>
      <c r="G13" s="45"/>
    </row>
    <row r="14" spans="1:10" ht="18" customHeight="1" x14ac:dyDescent="0.35">
      <c r="A14" s="16" t="str">
        <f>Kertoimet!B86</f>
        <v>Läppäri</v>
      </c>
      <c r="B14" s="32">
        <v>2</v>
      </c>
      <c r="C14" s="67">
        <f>B14*Kertoimet!C86/1000</f>
        <v>311.2</v>
      </c>
      <c r="D14" s="77"/>
      <c r="E14" s="77"/>
      <c r="F14" s="107">
        <v>2</v>
      </c>
      <c r="G14" s="18"/>
    </row>
    <row r="15" spans="1:10" ht="18" customHeight="1" x14ac:dyDescent="0.35">
      <c r="A15" s="16" t="str">
        <f>Kertoimet!B87</f>
        <v>Pöytätietokone</v>
      </c>
      <c r="B15" s="32"/>
      <c r="C15" s="67">
        <f>B15*Kertoimet!C87/1000</f>
        <v>0</v>
      </c>
      <c r="D15" s="77"/>
      <c r="E15" s="77"/>
      <c r="F15" s="107">
        <v>2</v>
      </c>
    </row>
    <row r="16" spans="1:10" ht="18" customHeight="1" x14ac:dyDescent="0.35">
      <c r="A16" s="16" t="str">
        <f>Kertoimet!B88</f>
        <v>LCD-näyttö</v>
      </c>
      <c r="B16" s="32"/>
      <c r="C16" s="67">
        <f>B16*Kertoimet!C88/1000</f>
        <v>0</v>
      </c>
      <c r="D16" s="77"/>
      <c r="E16" s="77"/>
      <c r="F16" s="107">
        <v>2</v>
      </c>
      <c r="G16" s="14" t="s">
        <v>180</v>
      </c>
    </row>
    <row r="17" spans="1:7" ht="18" customHeight="1" x14ac:dyDescent="0.35">
      <c r="A17" s="16" t="str">
        <f>Kertoimet!B89</f>
        <v>LED-näyttö, LED-televisio</v>
      </c>
      <c r="B17" s="32">
        <v>1</v>
      </c>
      <c r="C17" s="67">
        <f>B17*Kertoimet!C89/1000</f>
        <v>208</v>
      </c>
      <c r="D17" s="77"/>
      <c r="E17" s="77"/>
      <c r="F17" s="107">
        <v>2</v>
      </c>
      <c r="G17" s="14" t="s">
        <v>181</v>
      </c>
    </row>
    <row r="18" spans="1:7" ht="18" customHeight="1" x14ac:dyDescent="0.35">
      <c r="A18" s="16" t="str">
        <f>Kertoimet!B90</f>
        <v>Monitoimilaite (tulostus+kopointi+skannaus)</v>
      </c>
      <c r="B18" s="32"/>
      <c r="C18" s="67">
        <f>B18*Kertoimet!C90/1000</f>
        <v>0</v>
      </c>
      <c r="D18" s="77"/>
      <c r="E18" s="77"/>
      <c r="F18" s="107">
        <v>2</v>
      </c>
    </row>
    <row r="19" spans="1:7" ht="18" customHeight="1" x14ac:dyDescent="0.35">
      <c r="A19" s="16" t="str">
        <f>Kertoimet!B91</f>
        <v>Tulostin</v>
      </c>
      <c r="B19" s="32"/>
      <c r="C19" s="67">
        <f>B19*Kertoimet!C91/1000</f>
        <v>0</v>
      </c>
      <c r="D19" s="77"/>
      <c r="E19" s="77"/>
      <c r="F19" s="107">
        <v>2</v>
      </c>
    </row>
    <row r="20" spans="1:7" ht="18" customHeight="1" x14ac:dyDescent="0.35">
      <c r="A20" s="16" t="str">
        <f>Kertoimet!B92</f>
        <v>Metallirunkoinen pöytä</v>
      </c>
      <c r="B20" s="32"/>
      <c r="C20" s="67">
        <f>B20*Kertoimet!C92/1000</f>
        <v>0</v>
      </c>
      <c r="D20" s="77"/>
      <c r="E20" s="77"/>
      <c r="F20" s="107">
        <v>2</v>
      </c>
    </row>
    <row r="21" spans="1:7" ht="18" customHeight="1" x14ac:dyDescent="0.35">
      <c r="A21" s="16" t="str">
        <f>Kertoimet!B93</f>
        <v>Sähköpöytä</v>
      </c>
      <c r="B21" s="32">
        <v>2</v>
      </c>
      <c r="C21" s="67">
        <f>B21*Kertoimet!C93/1000</f>
        <v>508</v>
      </c>
      <c r="D21" s="77"/>
      <c r="E21" s="77"/>
      <c r="F21" s="107">
        <v>2</v>
      </c>
    </row>
    <row r="22" spans="1:7" ht="18" customHeight="1" x14ac:dyDescent="0.35">
      <c r="A22" s="16" t="str">
        <f>Kertoimet!B94</f>
        <v>Työpydän tuoli (renkailla)</v>
      </c>
      <c r="B22" s="32"/>
      <c r="C22" s="67">
        <f>B22*Kertoimet!C94/1000</f>
        <v>0</v>
      </c>
      <c r="D22" s="77"/>
      <c r="E22" s="77"/>
      <c r="F22" s="107">
        <v>2</v>
      </c>
    </row>
    <row r="23" spans="1:7" ht="18" customHeight="1" x14ac:dyDescent="0.35">
      <c r="A23" s="16" t="str">
        <f>Kertoimet!B95</f>
        <v>Muu tuoli</v>
      </c>
      <c r="B23" s="32"/>
      <c r="C23" s="67">
        <f>B23*Kertoimet!C95/1000</f>
        <v>0</v>
      </c>
      <c r="D23" s="77"/>
      <c r="E23" s="77"/>
      <c r="F23" s="107">
        <v>2</v>
      </c>
    </row>
    <row r="24" spans="1:7" ht="18" customHeight="1" x14ac:dyDescent="0.35">
      <c r="A24" s="16" t="str">
        <f>Kertoimet!B96</f>
        <v>Kierrätyskalusteet</v>
      </c>
      <c r="B24" s="32">
        <v>1</v>
      </c>
      <c r="C24" s="67">
        <f>B24*Kertoimet!C96/1000</f>
        <v>0</v>
      </c>
      <c r="D24" s="77"/>
      <c r="E24" s="77"/>
    </row>
    <row r="25" spans="1:7" ht="18" customHeight="1" x14ac:dyDescent="0.35">
      <c r="A25" s="16" t="str">
        <f>Kertoimet!B97</f>
        <v>Muut laitteet ja kalusteet</v>
      </c>
      <c r="B25" s="32">
        <v>1</v>
      </c>
      <c r="C25" s="67">
        <f>B25*Kertoimet!C97/1000</f>
        <v>23</v>
      </c>
      <c r="E25" s="77"/>
      <c r="G25" s="14" t="s">
        <v>182</v>
      </c>
    </row>
    <row r="26" spans="1:7" ht="18" customHeight="1" x14ac:dyDescent="0.45">
      <c r="B26" s="80" t="s">
        <v>148</v>
      </c>
      <c r="C26" s="110">
        <f>SUM(C13:C25)</f>
        <v>1401.2</v>
      </c>
      <c r="D26" s="80" t="s">
        <v>85</v>
      </c>
      <c r="G26" s="14" t="s">
        <v>183</v>
      </c>
    </row>
    <row r="27" spans="1:7" x14ac:dyDescent="0.35">
      <c r="C27" s="80"/>
      <c r="G27" s="35" t="s">
        <v>184</v>
      </c>
    </row>
    <row r="28" spans="1:7" ht="17.25" customHeight="1" x14ac:dyDescent="0.35">
      <c r="A28" s="22" t="s">
        <v>185</v>
      </c>
      <c r="B28" s="32">
        <v>23000</v>
      </c>
      <c r="C28" s="80"/>
    </row>
    <row r="30" spans="1:7" ht="16" thickBot="1" x14ac:dyDescent="0.4">
      <c r="D30" s="23" t="s">
        <v>68</v>
      </c>
    </row>
    <row r="31" spans="1:7" ht="17" thickBot="1" x14ac:dyDescent="0.5">
      <c r="A31" s="41" t="s">
        <v>186</v>
      </c>
      <c r="B31" s="85"/>
      <c r="C31" s="38"/>
      <c r="D31" s="194">
        <f>C8+C26</f>
        <v>1627.45</v>
      </c>
      <c r="E31" s="85" t="s">
        <v>85</v>
      </c>
    </row>
    <row r="37" spans="1:6" s="25" customFormat="1" x14ac:dyDescent="0.35">
      <c r="A37" s="25" t="s">
        <v>71</v>
      </c>
      <c r="F37" s="40"/>
    </row>
    <row r="38" spans="1:6" s="25" customFormat="1" x14ac:dyDescent="0.35">
      <c r="A38" s="25" t="s">
        <v>187</v>
      </c>
      <c r="F38" s="40"/>
    </row>
    <row r="39" spans="1:6" s="25" customFormat="1" x14ac:dyDescent="0.35">
      <c r="A39" s="25" t="s">
        <v>188</v>
      </c>
      <c r="F39" s="40"/>
    </row>
    <row r="40" spans="1:6" s="25" customFormat="1" x14ac:dyDescent="0.35">
      <c r="F40" s="40"/>
    </row>
    <row r="41" spans="1:6" s="25" customFormat="1" x14ac:dyDescent="0.35">
      <c r="F41" s="40"/>
    </row>
    <row r="42" spans="1:6" s="25" customFormat="1" x14ac:dyDescent="0.35">
      <c r="F42" s="40"/>
    </row>
  </sheetData>
  <sheetProtection sheet="1" objects="1" scenarios="1" formatCells="0"/>
  <hyperlinks>
    <hyperlink ref="G27" r:id="rId1" xr:uid="{00000000-0004-0000-0400-000000000000}"/>
  </hyperlinks>
  <pageMargins left="0.7" right="0.7" top="0.75" bottom="0.75" header="0.3" footer="0.3"/>
  <pageSetup paperSize="9" orientation="portrait" verticalDpi="0" r:id="rId2"/>
  <ignoredErrors>
    <ignoredError sqref="A12:A25 A6:A7"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76"/>
  <sheetViews>
    <sheetView zoomScale="63" zoomScaleNormal="145" workbookViewId="0">
      <pane ySplit="1" topLeftCell="A6" activePane="bottomLeft" state="frozen"/>
      <selection pane="bottomLeft" activeCell="F25" sqref="F25"/>
    </sheetView>
  </sheetViews>
  <sheetFormatPr defaultColWidth="9.1796875" defaultRowHeight="14.5" x14ac:dyDescent="0.35"/>
  <cols>
    <col min="1" max="1" width="35.81640625" style="16" customWidth="1"/>
    <col min="2" max="2" width="18.81640625" style="16" customWidth="1"/>
    <col min="3" max="3" width="15.81640625" style="16" customWidth="1"/>
    <col min="4" max="4" width="13" style="16" customWidth="1"/>
    <col min="5" max="5" width="11.1796875" style="16" customWidth="1"/>
    <col min="6" max="6" width="10.453125" style="16" customWidth="1"/>
    <col min="7" max="7" width="7" style="78" customWidth="1"/>
    <col min="8" max="8" width="31.453125" style="45" customWidth="1"/>
    <col min="9" max="9" width="20" style="45" customWidth="1"/>
    <col min="10" max="10" width="188.453125" style="45" customWidth="1"/>
    <col min="11" max="16384" width="9.1796875" style="16"/>
  </cols>
  <sheetData>
    <row r="1" spans="1:10" s="27" customFormat="1" ht="18.5" x14ac:dyDescent="0.45">
      <c r="A1" s="7" t="s">
        <v>189</v>
      </c>
      <c r="B1" s="8" t="s">
        <v>190</v>
      </c>
      <c r="C1" s="8"/>
      <c r="F1" s="28"/>
      <c r="G1" s="43"/>
      <c r="I1" s="45"/>
      <c r="J1" s="45"/>
    </row>
    <row r="2" spans="1:10" ht="17" x14ac:dyDescent="0.4">
      <c r="A2" s="65" t="str">
        <f>Info!B2</f>
        <v>Pesäpuu ry</v>
      </c>
      <c r="B2" s="65">
        <f>Info!B4</f>
        <v>2019</v>
      </c>
      <c r="C2" s="112"/>
    </row>
    <row r="3" spans="1:10" ht="15" customHeight="1" x14ac:dyDescent="0.4">
      <c r="A3" s="64"/>
      <c r="B3" s="64"/>
      <c r="C3" s="112"/>
    </row>
    <row r="4" spans="1:10" ht="15" customHeight="1" x14ac:dyDescent="0.35">
      <c r="B4" s="112"/>
      <c r="C4" s="112"/>
    </row>
    <row r="5" spans="1:10" ht="15.5" x14ac:dyDescent="0.35">
      <c r="A5" s="74" t="s">
        <v>191</v>
      </c>
      <c r="G5" s="73" t="str">
        <f>Energia!F4</f>
        <v>Lähde</v>
      </c>
      <c r="H5" s="29" t="s">
        <v>19</v>
      </c>
    </row>
    <row r="6" spans="1:10" ht="16.5" x14ac:dyDescent="0.45">
      <c r="A6" s="74" t="str">
        <f>Kertoimet!B101</f>
        <v>Tapahtumatilan käyttö</v>
      </c>
      <c r="B6" s="113" t="s">
        <v>192</v>
      </c>
      <c r="C6" s="21" t="s">
        <v>193</v>
      </c>
      <c r="D6" s="21" t="s">
        <v>23</v>
      </c>
      <c r="G6" s="114"/>
      <c r="H6" s="92"/>
    </row>
    <row r="7" spans="1:10" ht="18" customHeight="1" x14ac:dyDescent="0.35">
      <c r="A7" s="16" t="str">
        <f>Kertoimet!B102</f>
        <v>Toimistorakennus</v>
      </c>
      <c r="B7" s="240">
        <f>AVERAGE(10,15,20,30,50,150)</f>
        <v>45.833333333333336</v>
      </c>
      <c r="C7" s="32">
        <f>8+90+2+8+18+16</f>
        <v>142</v>
      </c>
      <c r="D7" s="67">
        <f>B7*C7*Kertoimet!C102/1000</f>
        <v>16.909779299847759</v>
      </c>
      <c r="E7" s="83"/>
      <c r="F7" s="77"/>
      <c r="G7" s="78">
        <v>2</v>
      </c>
      <c r="H7" s="45" t="s">
        <v>194</v>
      </c>
    </row>
    <row r="8" spans="1:10" ht="18" customHeight="1" x14ac:dyDescent="0.35">
      <c r="A8" s="16" t="str">
        <f>Kertoimet!B103</f>
        <v>Hotelli</v>
      </c>
      <c r="B8" s="32"/>
      <c r="C8" s="32"/>
      <c r="D8" s="67">
        <f>B8*C8*Kertoimet!C103/1000</f>
        <v>0</v>
      </c>
      <c r="E8" s="83"/>
      <c r="F8" s="77"/>
      <c r="G8" s="78">
        <v>2</v>
      </c>
      <c r="H8" s="45" t="s">
        <v>195</v>
      </c>
    </row>
    <row r="9" spans="1:10" ht="18" customHeight="1" x14ac:dyDescent="0.35">
      <c r="A9" s="16" t="str">
        <f>Kertoimet!B104</f>
        <v>Liikuntasali</v>
      </c>
      <c r="B9" s="32"/>
      <c r="C9" s="32"/>
      <c r="D9" s="67">
        <f>B9*C9*Kertoimet!C104/1000</f>
        <v>0</v>
      </c>
      <c r="E9" s="83"/>
      <c r="F9" s="77"/>
      <c r="G9" s="78">
        <v>2</v>
      </c>
      <c r="H9" s="45" t="s">
        <v>196</v>
      </c>
    </row>
    <row r="10" spans="1:10" ht="18" customHeight="1" x14ac:dyDescent="0.35">
      <c r="C10" s="115" t="s">
        <v>148</v>
      </c>
      <c r="D10" s="106">
        <f>SUM(D7:D9)</f>
        <v>16.909779299847759</v>
      </c>
      <c r="E10" s="80"/>
      <c r="H10" s="45" t="s">
        <v>197</v>
      </c>
    </row>
    <row r="11" spans="1:10" ht="18" customHeight="1" x14ac:dyDescent="0.35">
      <c r="A11" s="16" t="str">
        <f>Kertoimet!B106</f>
        <v>Vaihtoehto:</v>
      </c>
      <c r="B11" s="16" t="s">
        <v>198</v>
      </c>
      <c r="C11" s="115"/>
      <c r="D11" s="123"/>
      <c r="E11" s="80"/>
    </row>
    <row r="12" spans="1:10" ht="18" customHeight="1" x14ac:dyDescent="0.45">
      <c r="A12" s="16" t="str">
        <f>Kertoimet!B107</f>
        <v>Tapahtumatila, €</v>
      </c>
      <c r="B12" s="32"/>
      <c r="C12" s="68">
        <f>B12*Kertoimet!C107/1000</f>
        <v>0</v>
      </c>
      <c r="D12" s="80" t="s">
        <v>85</v>
      </c>
      <c r="E12" s="80"/>
      <c r="G12" s="78">
        <v>1</v>
      </c>
      <c r="H12" s="45" t="s">
        <v>199</v>
      </c>
    </row>
    <row r="13" spans="1:10" ht="18" customHeight="1" x14ac:dyDescent="0.35">
      <c r="E13" s="77"/>
      <c r="F13" s="77"/>
      <c r="H13" s="45" t="s">
        <v>200</v>
      </c>
    </row>
    <row r="14" spans="1:10" ht="16.5" x14ac:dyDescent="0.45">
      <c r="A14" s="74" t="str">
        <f>Kertoimet!B109</f>
        <v>Postipalvelut</v>
      </c>
      <c r="B14" s="21" t="s">
        <v>201</v>
      </c>
      <c r="C14" s="21" t="s">
        <v>23</v>
      </c>
      <c r="G14" s="114"/>
      <c r="H14" s="45" t="s">
        <v>202</v>
      </c>
    </row>
    <row r="15" spans="1:10" ht="18" customHeight="1" x14ac:dyDescent="0.35">
      <c r="A15" s="16" t="str">
        <f>Kertoimet!B110</f>
        <v>Kirjelähetykset</v>
      </c>
      <c r="B15" s="116">
        <v>156</v>
      </c>
      <c r="C15" s="67">
        <f>B15*Kertoimet!C110/1000</f>
        <v>4.68</v>
      </c>
      <c r="D15" s="117"/>
      <c r="E15" s="77"/>
      <c r="G15" s="118">
        <v>3</v>
      </c>
    </row>
    <row r="16" spans="1:10" ht="18" customHeight="1" x14ac:dyDescent="0.35">
      <c r="A16" s="16" t="str">
        <f>Kertoimet!B111</f>
        <v>Pakettilähetykset</v>
      </c>
      <c r="B16" s="116">
        <v>1481</v>
      </c>
      <c r="C16" s="67">
        <f>B16*Kertoimet!C111/1000</f>
        <v>888.6</v>
      </c>
      <c r="D16" s="117"/>
      <c r="E16" s="77"/>
      <c r="G16" s="118">
        <v>3</v>
      </c>
    </row>
    <row r="17" spans="1:8" ht="16.5" x14ac:dyDescent="0.45">
      <c r="B17" s="115" t="s">
        <v>148</v>
      </c>
      <c r="C17" s="69">
        <f>SUM(C15:C16)</f>
        <v>893.28</v>
      </c>
      <c r="D17" s="80" t="s">
        <v>85</v>
      </c>
      <c r="G17" s="114"/>
      <c r="H17" s="92"/>
    </row>
    <row r="18" spans="1:8" ht="15.5" x14ac:dyDescent="0.35">
      <c r="B18" s="115"/>
      <c r="C18" s="119"/>
      <c r="D18" s="80"/>
      <c r="G18" s="114"/>
      <c r="H18" s="92"/>
    </row>
    <row r="19" spans="1:8" ht="16.5" x14ac:dyDescent="0.45">
      <c r="A19" s="74" t="str">
        <f>Kertoimet!B113</f>
        <v>Muut palvelut</v>
      </c>
      <c r="B19" s="21" t="s">
        <v>198</v>
      </c>
      <c r="C19" s="21" t="s">
        <v>23</v>
      </c>
      <c r="D19" s="120"/>
      <c r="E19" s="80"/>
      <c r="G19" s="114"/>
      <c r="H19" s="92"/>
    </row>
    <row r="20" spans="1:8" ht="18" customHeight="1" x14ac:dyDescent="0.35">
      <c r="A20" s="16" t="str">
        <f>Kertoimet!B114</f>
        <v>Siivous</v>
      </c>
      <c r="B20" s="32">
        <v>5810</v>
      </c>
      <c r="C20" s="67">
        <f>B20*Kertoimet!C114/1000</f>
        <v>581</v>
      </c>
      <c r="D20" s="83"/>
      <c r="E20" s="77"/>
      <c r="G20" s="78">
        <v>1</v>
      </c>
      <c r="H20" s="45" t="s">
        <v>203</v>
      </c>
    </row>
    <row r="21" spans="1:8" ht="18" customHeight="1" x14ac:dyDescent="0.35">
      <c r="A21" s="16" t="str">
        <f>Kertoimet!B115</f>
        <v>Netti ja soittelu</v>
      </c>
      <c r="B21" s="32">
        <v>9372.85</v>
      </c>
      <c r="C21" s="67">
        <f>B21*Kertoimet!C115/1000</f>
        <v>2624.3980000000001</v>
      </c>
      <c r="D21" s="83"/>
      <c r="E21" s="77"/>
      <c r="G21" s="78">
        <v>1</v>
      </c>
    </row>
    <row r="22" spans="1:8" ht="18" customHeight="1" x14ac:dyDescent="0.45">
      <c r="B22" s="115" t="s">
        <v>148</v>
      </c>
      <c r="C22" s="106">
        <f>SUM(C20:C21)</f>
        <v>3205.3980000000001</v>
      </c>
      <c r="D22" s="80" t="s">
        <v>85</v>
      </c>
      <c r="H22" s="82"/>
    </row>
    <row r="23" spans="1:8" ht="18" customHeight="1" x14ac:dyDescent="0.35">
      <c r="D23" s="121"/>
      <c r="E23" s="80"/>
      <c r="H23" s="82"/>
    </row>
    <row r="24" spans="1:8" ht="16.5" x14ac:dyDescent="0.45">
      <c r="A24" s="21" t="str">
        <f>Kertoimet!B117</f>
        <v>Ruokatarjoilut</v>
      </c>
      <c r="B24" s="74" t="s">
        <v>204</v>
      </c>
      <c r="C24" s="80" t="s">
        <v>205</v>
      </c>
      <c r="E24" s="80"/>
      <c r="F24" s="80"/>
    </row>
    <row r="25" spans="1:8" ht="18" customHeight="1" x14ac:dyDescent="0.35">
      <c r="A25" s="22" t="str">
        <f>Kertoimet!B118</f>
        <v>Naudanliha-ateria</v>
      </c>
      <c r="B25" s="32"/>
      <c r="C25" s="67">
        <f>B25*Kertoimet!C118/1000</f>
        <v>0</v>
      </c>
      <c r="D25" s="83"/>
      <c r="E25" s="77"/>
      <c r="G25" s="78">
        <v>4</v>
      </c>
      <c r="H25" s="45" t="s">
        <v>206</v>
      </c>
    </row>
    <row r="26" spans="1:8" ht="18" customHeight="1" x14ac:dyDescent="0.35">
      <c r="A26" s="22" t="str">
        <f>Kertoimet!B119</f>
        <v>Porsaanliha-ateria</v>
      </c>
      <c r="B26" s="32"/>
      <c r="C26" s="67">
        <f>B26*Kertoimet!C119/1000</f>
        <v>0</v>
      </c>
      <c r="D26" s="83"/>
      <c r="E26" s="77"/>
      <c r="G26" s="78">
        <v>4</v>
      </c>
      <c r="H26" s="45" t="s">
        <v>207</v>
      </c>
    </row>
    <row r="27" spans="1:8" ht="18" customHeight="1" x14ac:dyDescent="0.35">
      <c r="A27" s="22" t="str">
        <f>Kertoimet!B120</f>
        <v>Kana-ateria</v>
      </c>
      <c r="B27" s="32">
        <v>250</v>
      </c>
      <c r="C27" s="67">
        <f>B27*Kertoimet!C120/1000</f>
        <v>408.77499999999998</v>
      </c>
      <c r="D27" s="83"/>
      <c r="E27" s="77"/>
      <c r="G27" s="78">
        <v>4</v>
      </c>
    </row>
    <row r="28" spans="1:8" ht="18" customHeight="1" x14ac:dyDescent="0.35">
      <c r="A28" s="22" t="str">
        <f>Kertoimet!B121</f>
        <v>Kala-ateria</v>
      </c>
      <c r="B28" s="32">
        <v>250</v>
      </c>
      <c r="C28" s="67">
        <f>B28*Kertoimet!C121/1000</f>
        <v>429.52499999999992</v>
      </c>
      <c r="D28" s="83"/>
      <c r="E28" s="77"/>
      <c r="G28" s="78">
        <v>4</v>
      </c>
    </row>
    <row r="29" spans="1:8" ht="18" customHeight="1" x14ac:dyDescent="0.35">
      <c r="A29" s="22" t="str">
        <f>Kertoimet!B122</f>
        <v>Kasvisateria</v>
      </c>
      <c r="B29" s="32"/>
      <c r="C29" s="67">
        <f>B29*Kertoimet!C122/1000</f>
        <v>0</v>
      </c>
      <c r="D29" s="83"/>
      <c r="E29" s="77"/>
    </row>
    <row r="30" spans="1:8" ht="18" customHeight="1" x14ac:dyDescent="0.35">
      <c r="A30" s="22" t="str">
        <f>Kertoimet!B123</f>
        <v>Kasvisateria, vegaaninen</v>
      </c>
      <c r="B30" s="32"/>
      <c r="C30" s="67">
        <f>B30*Kertoimet!C123/1000</f>
        <v>0</v>
      </c>
      <c r="D30" s="83"/>
      <c r="E30" s="77"/>
      <c r="G30" s="78">
        <v>4</v>
      </c>
    </row>
    <row r="31" spans="1:8" ht="18" customHeight="1" x14ac:dyDescent="0.35">
      <c r="A31" s="22" t="str">
        <f>Kertoimet!B124</f>
        <v>Leivonnainen</v>
      </c>
      <c r="B31" s="36">
        <v>1300</v>
      </c>
      <c r="C31" s="67">
        <f>B31*Kertoimet!C124/1000</f>
        <v>212.94000000000003</v>
      </c>
      <c r="D31" s="83"/>
      <c r="E31" s="13"/>
      <c r="G31" s="78">
        <v>5</v>
      </c>
    </row>
    <row r="32" spans="1:8" ht="18" customHeight="1" x14ac:dyDescent="0.35">
      <c r="A32" s="22" t="str">
        <f>Kertoimet!B125</f>
        <v>Makkara</v>
      </c>
      <c r="B32" s="32"/>
      <c r="C32" s="67">
        <f>B32*Kertoimet!C125/1000</f>
        <v>0</v>
      </c>
      <c r="D32" s="83"/>
      <c r="E32" s="77"/>
      <c r="G32" s="78">
        <v>5</v>
      </c>
    </row>
    <row r="33" spans="1:10" ht="18" customHeight="1" x14ac:dyDescent="0.35">
      <c r="A33" s="22" t="s">
        <v>208</v>
      </c>
      <c r="B33" s="32">
        <v>700</v>
      </c>
      <c r="C33" s="67">
        <f>B33*Kertoimet!C126/1000</f>
        <v>151.9</v>
      </c>
      <c r="D33" s="83"/>
      <c r="E33" s="77"/>
    </row>
    <row r="34" spans="1:10" ht="18" customHeight="1" x14ac:dyDescent="0.35">
      <c r="A34" s="22" t="s">
        <v>209</v>
      </c>
      <c r="B34" s="32">
        <v>600</v>
      </c>
      <c r="C34" s="67">
        <f>B34*Kertoimet!C127/1000</f>
        <v>77.400000000000006</v>
      </c>
      <c r="D34" s="83"/>
      <c r="E34" s="77"/>
    </row>
    <row r="35" spans="1:10" ht="18" customHeight="1" x14ac:dyDescent="0.35">
      <c r="A35" s="22" t="s">
        <v>210</v>
      </c>
      <c r="B35" s="32"/>
      <c r="C35" s="67">
        <f>B35*Kertoimet!C128/1000</f>
        <v>0</v>
      </c>
      <c r="D35" s="83"/>
      <c r="E35" s="77"/>
      <c r="H35" s="45" t="s">
        <v>211</v>
      </c>
    </row>
    <row r="36" spans="1:10" ht="18" customHeight="1" x14ac:dyDescent="0.35">
      <c r="A36" s="22" t="str">
        <f>Kertoimet!B129</f>
        <v>Muu ruokatuote</v>
      </c>
      <c r="B36" s="32"/>
      <c r="C36" s="67">
        <f>B36*Kertoimet!C129/1000</f>
        <v>0</v>
      </c>
      <c r="D36" s="83"/>
      <c r="E36" s="77"/>
      <c r="H36" s="79" t="s">
        <v>212</v>
      </c>
      <c r="I36" s="45" t="s">
        <v>213</v>
      </c>
    </row>
    <row r="37" spans="1:10" ht="18" customHeight="1" x14ac:dyDescent="0.45">
      <c r="A37" s="122"/>
      <c r="B37" s="115" t="s">
        <v>148</v>
      </c>
      <c r="C37" s="106">
        <f>SUM(C25:C36)</f>
        <v>1280.5400000000002</v>
      </c>
      <c r="D37" s="80" t="s">
        <v>85</v>
      </c>
      <c r="E37" s="80"/>
      <c r="F37" s="80"/>
      <c r="H37" s="79" t="s">
        <v>214</v>
      </c>
      <c r="I37" s="45" t="s">
        <v>215</v>
      </c>
    </row>
    <row r="38" spans="1:10" ht="18" customHeight="1" x14ac:dyDescent="0.35">
      <c r="A38" s="122"/>
      <c r="B38" s="115"/>
      <c r="C38" s="123"/>
      <c r="D38" s="80"/>
      <c r="E38" s="80"/>
      <c r="F38" s="80"/>
      <c r="H38" s="45" t="s">
        <v>216</v>
      </c>
    </row>
    <row r="39" spans="1:10" ht="18" customHeight="1" x14ac:dyDescent="0.45">
      <c r="B39" s="124" t="s">
        <v>217</v>
      </c>
      <c r="D39" s="121"/>
      <c r="E39" s="80"/>
      <c r="F39" s="80"/>
      <c r="H39" s="45" t="s">
        <v>218</v>
      </c>
    </row>
    <row r="40" spans="1:10" ht="18" customHeight="1" x14ac:dyDescent="0.35">
      <c r="A40" s="16" t="s">
        <v>219</v>
      </c>
      <c r="B40" s="116"/>
      <c r="D40" s="121"/>
      <c r="E40" s="80"/>
      <c r="F40" s="80"/>
      <c r="H40" s="79" t="s">
        <v>220</v>
      </c>
    </row>
    <row r="41" spans="1:10" ht="18" customHeight="1" x14ac:dyDescent="0.35">
      <c r="A41" s="122"/>
      <c r="B41" s="115"/>
      <c r="C41" s="123"/>
      <c r="D41" s="80"/>
      <c r="E41" s="80"/>
      <c r="F41" s="80"/>
      <c r="H41" s="45" t="s">
        <v>221</v>
      </c>
    </row>
    <row r="42" spans="1:10" ht="18" customHeight="1" x14ac:dyDescent="0.45">
      <c r="A42" s="214" t="str">
        <f>Kertoimet!B131</f>
        <v>Juomat</v>
      </c>
      <c r="B42" s="198" t="s">
        <v>222</v>
      </c>
      <c r="C42" s="80" t="s">
        <v>205</v>
      </c>
      <c r="D42" s="80"/>
      <c r="E42" s="80"/>
      <c r="F42" s="80"/>
    </row>
    <row r="43" spans="1:10" ht="18" customHeight="1" x14ac:dyDescent="0.35">
      <c r="A43" s="124" t="str">
        <f>Kertoimet!B132</f>
        <v>Kahvi</v>
      </c>
      <c r="B43" s="32">
        <v>400</v>
      </c>
      <c r="C43" s="67">
        <f>B43*Kertoimet!C132/1000</f>
        <v>240</v>
      </c>
      <c r="D43" s="80"/>
      <c r="E43" s="80"/>
      <c r="F43" s="80"/>
      <c r="G43" s="78">
        <v>5</v>
      </c>
      <c r="H43" s="215" t="s">
        <v>223</v>
      </c>
    </row>
    <row r="44" spans="1:10" ht="18" customHeight="1" x14ac:dyDescent="0.35">
      <c r="A44" s="124" t="str">
        <f>Kertoimet!B133</f>
        <v>Tee</v>
      </c>
      <c r="B44" s="32">
        <v>100</v>
      </c>
      <c r="C44" s="67">
        <f>B44*Kertoimet!C133/1000</f>
        <v>30</v>
      </c>
      <c r="D44" s="80"/>
      <c r="E44" s="80"/>
      <c r="F44" s="80"/>
      <c r="G44" s="78">
        <v>5</v>
      </c>
      <c r="H44" s="45" t="s">
        <v>224</v>
      </c>
    </row>
    <row r="45" spans="1:10" ht="18" customHeight="1" x14ac:dyDescent="0.35">
      <c r="A45" s="124" t="s">
        <v>225</v>
      </c>
      <c r="B45" s="32"/>
      <c r="C45" s="67">
        <f>B45*Kertoimet!C134/1000</f>
        <v>0</v>
      </c>
      <c r="D45" s="80"/>
      <c r="E45" s="80"/>
      <c r="F45" s="80"/>
      <c r="H45" s="45" t="s">
        <v>226</v>
      </c>
      <c r="I45" s="45" t="s">
        <v>227</v>
      </c>
    </row>
    <row r="46" spans="1:10" ht="18" customHeight="1" x14ac:dyDescent="0.35">
      <c r="A46" s="124" t="s">
        <v>228</v>
      </c>
      <c r="B46" s="32"/>
      <c r="C46" s="67">
        <f>B46*Kertoimet!C135/1000</f>
        <v>0</v>
      </c>
      <c r="D46" s="80"/>
      <c r="E46" s="80"/>
      <c r="F46" s="80"/>
      <c r="H46" s="32"/>
      <c r="I46" s="216">
        <f>H46*0.2</f>
        <v>0</v>
      </c>
      <c r="J46" s="45" t="s">
        <v>229</v>
      </c>
    </row>
    <row r="47" spans="1:10" ht="18" customHeight="1" x14ac:dyDescent="0.35">
      <c r="A47" s="124" t="s">
        <v>230</v>
      </c>
      <c r="B47" s="32"/>
      <c r="C47" s="67">
        <f>B47*Kertoimet!C136/1000</f>
        <v>0</v>
      </c>
      <c r="D47" s="80"/>
      <c r="E47" s="80"/>
      <c r="F47" s="80"/>
      <c r="I47" s="6"/>
    </row>
    <row r="48" spans="1:10" ht="18" customHeight="1" x14ac:dyDescent="0.45">
      <c r="A48" s="214"/>
      <c r="B48" s="115" t="s">
        <v>148</v>
      </c>
      <c r="C48" s="106">
        <f>SUM(C43:C47)</f>
        <v>270</v>
      </c>
      <c r="D48" s="80" t="s">
        <v>85</v>
      </c>
      <c r="E48" s="80"/>
      <c r="F48" s="80"/>
    </row>
    <row r="49" spans="1:10" ht="18" customHeight="1" x14ac:dyDescent="0.35">
      <c r="A49" s="122"/>
      <c r="B49" s="115"/>
      <c r="C49" s="123"/>
      <c r="D49" s="80"/>
      <c r="E49" s="80"/>
      <c r="F49" s="80"/>
    </row>
    <row r="50" spans="1:10" ht="18" customHeight="1" x14ac:dyDescent="0.35">
      <c r="B50" s="74" t="s">
        <v>201</v>
      </c>
      <c r="D50" s="80"/>
      <c r="E50" s="80"/>
      <c r="F50" s="80"/>
      <c r="I50" s="6"/>
    </row>
    <row r="51" spans="1:10" ht="18" customHeight="1" x14ac:dyDescent="0.45">
      <c r="A51" s="124" t="str">
        <f>Kertoimet!B139</f>
        <v>Kertakäyttöastia (muki)</v>
      </c>
      <c r="B51" s="32"/>
      <c r="C51" s="68">
        <f>B51*Kertoimet!C139/1000</f>
        <v>0</v>
      </c>
      <c r="D51" s="80" t="s">
        <v>85</v>
      </c>
      <c r="E51" s="80"/>
      <c r="F51" s="80"/>
      <c r="G51" s="78">
        <v>8</v>
      </c>
      <c r="H51" s="45" t="s">
        <v>231</v>
      </c>
      <c r="I51" s="6"/>
    </row>
    <row r="52" spans="1:10" x14ac:dyDescent="0.35">
      <c r="H52" s="45" t="s">
        <v>232</v>
      </c>
    </row>
    <row r="53" spans="1:10" x14ac:dyDescent="0.35">
      <c r="H53" s="45" t="s">
        <v>233</v>
      </c>
    </row>
    <row r="54" spans="1:10" ht="16.5" x14ac:dyDescent="0.45">
      <c r="A54" s="74" t="str">
        <f>Kertoimet!B141</f>
        <v>Tarjotut tuotteet</v>
      </c>
      <c r="B54" s="74" t="s">
        <v>201</v>
      </c>
      <c r="C54" s="21" t="s">
        <v>23</v>
      </c>
    </row>
    <row r="55" spans="1:10" ht="18" customHeight="1" x14ac:dyDescent="0.35">
      <c r="A55" s="16" t="str">
        <f>Kertoimet!B142</f>
        <v>Jäsenlehti (kpl/vuosi)</v>
      </c>
      <c r="B55" s="32"/>
      <c r="C55" s="67">
        <f>B55*Kertoimet!C142/1000</f>
        <v>0</v>
      </c>
      <c r="D55" s="83"/>
      <c r="E55" s="77"/>
      <c r="G55" s="78">
        <v>6</v>
      </c>
      <c r="H55" s="45" t="s">
        <v>234</v>
      </c>
    </row>
    <row r="56" spans="1:10" ht="18" customHeight="1" x14ac:dyDescent="0.35">
      <c r="A56" s="16" t="str">
        <f>Kertoimet!B143</f>
        <v>Esite</v>
      </c>
      <c r="B56" s="32">
        <v>50</v>
      </c>
      <c r="C56" s="67">
        <f>B56*Kertoimet!C143/1000</f>
        <v>1.65</v>
      </c>
      <c r="D56" s="83"/>
      <c r="E56" s="77"/>
      <c r="G56" s="78">
        <v>6</v>
      </c>
      <c r="H56" s="81" t="s">
        <v>235</v>
      </c>
    </row>
    <row r="57" spans="1:10" ht="18" customHeight="1" x14ac:dyDescent="0.35">
      <c r="A57" s="16" t="str">
        <f>Kertoimet!B144</f>
        <v>Kirja</v>
      </c>
      <c r="B57" s="32"/>
      <c r="C57" s="67">
        <f>B57*Kertoimet!C144/1000</f>
        <v>0</v>
      </c>
      <c r="D57" s="83"/>
      <c r="E57" s="77"/>
      <c r="G57" s="78">
        <v>6</v>
      </c>
      <c r="H57" s="81" t="s">
        <v>236</v>
      </c>
    </row>
    <row r="58" spans="1:10" ht="18" customHeight="1" x14ac:dyDescent="0.35">
      <c r="A58" s="16" t="str">
        <f>Kertoimet!B145</f>
        <v>T-paita tai muu tekstiili</v>
      </c>
      <c r="B58" s="32"/>
      <c r="C58" s="67">
        <f>B58*Kertoimet!C145/1000</f>
        <v>0</v>
      </c>
      <c r="D58" s="83"/>
      <c r="E58" s="77"/>
      <c r="G58" s="78">
        <v>7</v>
      </c>
      <c r="H58" s="81" t="s">
        <v>237</v>
      </c>
    </row>
    <row r="59" spans="1:10" ht="18" customHeight="1" x14ac:dyDescent="0.35">
      <c r="A59" s="16" t="str">
        <f>Kertoimet!B146</f>
        <v>Paperikassi</v>
      </c>
      <c r="B59" s="32">
        <v>30</v>
      </c>
      <c r="C59" s="67">
        <f>B59*Kertoimet!C146/1000</f>
        <v>0.84</v>
      </c>
      <c r="D59" s="83"/>
      <c r="E59" s="77"/>
      <c r="G59" s="78">
        <v>9</v>
      </c>
      <c r="H59" s="81"/>
    </row>
    <row r="60" spans="1:10" ht="16.5" x14ac:dyDescent="0.45">
      <c r="B60" s="115" t="s">
        <v>148</v>
      </c>
      <c r="C60" s="106">
        <f>SUM(C55:C59)</f>
        <v>2.4899999999999998</v>
      </c>
      <c r="D60" s="80" t="s">
        <v>85</v>
      </c>
    </row>
    <row r="61" spans="1:10" ht="18" customHeight="1" x14ac:dyDescent="0.35">
      <c r="C61" s="115"/>
      <c r="D61" s="121"/>
      <c r="E61" s="80"/>
    </row>
    <row r="62" spans="1:10" ht="16" thickBot="1" x14ac:dyDescent="0.4">
      <c r="E62" s="23" t="s">
        <v>68</v>
      </c>
      <c r="H62" s="45" t="s">
        <v>238</v>
      </c>
    </row>
    <row r="63" spans="1:10" ht="17" thickBot="1" x14ac:dyDescent="0.5">
      <c r="A63" s="41" t="s">
        <v>239</v>
      </c>
      <c r="B63" s="85"/>
      <c r="C63" s="85"/>
      <c r="D63" s="85"/>
      <c r="E63" s="90">
        <f>D10+C12+C22+C17+C37+C48+C51+C60</f>
        <v>5668.6177792998478</v>
      </c>
      <c r="F63" s="85" t="s">
        <v>85</v>
      </c>
    </row>
    <row r="64" spans="1:10" s="25" customFormat="1" x14ac:dyDescent="0.35">
      <c r="A64" s="80"/>
      <c r="B64" s="80"/>
      <c r="C64" s="80"/>
      <c r="D64" s="80"/>
      <c r="E64" s="80"/>
      <c r="F64" s="80"/>
      <c r="G64" s="78"/>
      <c r="H64" s="45"/>
      <c r="I64" s="45"/>
      <c r="J64" s="45"/>
    </row>
    <row r="68" spans="1:7" s="25" customFormat="1" x14ac:dyDescent="0.35">
      <c r="A68" s="25" t="s">
        <v>240</v>
      </c>
      <c r="G68" s="40"/>
    </row>
    <row r="69" spans="1:7" s="25" customFormat="1" x14ac:dyDescent="0.35">
      <c r="A69" s="25" t="s">
        <v>241</v>
      </c>
      <c r="G69" s="40"/>
    </row>
    <row r="70" spans="1:7" s="25" customFormat="1" x14ac:dyDescent="0.35">
      <c r="A70" s="25" t="s">
        <v>242</v>
      </c>
      <c r="G70" s="40"/>
    </row>
    <row r="71" spans="1:7" s="25" customFormat="1" x14ac:dyDescent="0.35">
      <c r="A71" s="25" t="s">
        <v>243</v>
      </c>
      <c r="G71" s="40"/>
    </row>
    <row r="72" spans="1:7" s="25" customFormat="1" x14ac:dyDescent="0.35">
      <c r="A72" s="25" t="s">
        <v>244</v>
      </c>
      <c r="G72" s="40"/>
    </row>
    <row r="73" spans="1:7" s="25" customFormat="1" x14ac:dyDescent="0.35">
      <c r="A73" s="25" t="s">
        <v>245</v>
      </c>
      <c r="G73" s="40"/>
    </row>
    <row r="74" spans="1:7" s="25" customFormat="1" x14ac:dyDescent="0.35">
      <c r="A74" s="25" t="s">
        <v>246</v>
      </c>
      <c r="G74" s="40"/>
    </row>
    <row r="75" spans="1:7" s="25" customFormat="1" x14ac:dyDescent="0.35">
      <c r="A75" s="25" t="s">
        <v>247</v>
      </c>
      <c r="G75" s="40"/>
    </row>
    <row r="76" spans="1:7" x14ac:dyDescent="0.35">
      <c r="A76" s="237" t="s">
        <v>248</v>
      </c>
    </row>
  </sheetData>
  <sheetProtection sheet="1" objects="1" scenarios="1" formatCells="0"/>
  <hyperlinks>
    <hyperlink ref="H37" r:id="rId1" xr:uid="{00000000-0004-0000-0500-000000000000}"/>
    <hyperlink ref="H40" r:id="rId2" xr:uid="{00000000-0004-0000-0500-000001000000}"/>
    <hyperlink ref="H36" r:id="rId3" xr:uid="{00000000-0004-0000-0500-000002000000}"/>
  </hyperlinks>
  <pageMargins left="0.7" right="0.7" top="0.75" bottom="0.75" header="0.3" footer="0.3"/>
  <pageSetup paperSize="9" orientation="portrait" verticalDpi="0" r:id="rId4"/>
  <ignoredErrors>
    <ignoredError sqref="A24" unlockedFormula="1"/>
  </ignoredErrors>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2"/>
  <sheetViews>
    <sheetView zoomScale="70" zoomScaleNormal="70" workbookViewId="0">
      <pane ySplit="1" topLeftCell="A2" activePane="bottomLeft" state="frozen"/>
      <selection pane="bottomLeft" activeCell="A6" sqref="A6"/>
    </sheetView>
  </sheetViews>
  <sheetFormatPr defaultColWidth="9.1796875" defaultRowHeight="14.5" x14ac:dyDescent="0.35"/>
  <cols>
    <col min="1" max="1" width="8.453125" style="16" customWidth="1"/>
    <col min="2" max="2" width="16.1796875" style="16" customWidth="1"/>
    <col min="3" max="3" width="40.81640625" style="16" bestFit="1" customWidth="1"/>
    <col min="4" max="16384" width="9.1796875" style="16"/>
  </cols>
  <sheetData>
    <row r="1" spans="1:5" s="27" customFormat="1" ht="18.5" x14ac:dyDescent="0.45">
      <c r="A1" s="7" t="s">
        <v>249</v>
      </c>
    </row>
    <row r="2" spans="1:5" ht="17" x14ac:dyDescent="0.4">
      <c r="A2" s="25"/>
      <c r="B2" s="125" t="str">
        <f>Info!B2</f>
        <v>Pesäpuu ry</v>
      </c>
      <c r="C2" s="125">
        <f>Info!B4</f>
        <v>2019</v>
      </c>
      <c r="D2" s="25"/>
      <c r="E2" s="25"/>
    </row>
    <row r="3" spans="1:5" ht="47.25" customHeight="1" x14ac:dyDescent="0.35">
      <c r="A3" s="262" t="s">
        <v>250</v>
      </c>
      <c r="B3" s="263"/>
      <c r="C3" s="263"/>
      <c r="D3" s="263"/>
      <c r="E3" s="264"/>
    </row>
    <row r="5" spans="1:5" ht="18.75" customHeight="1" x14ac:dyDescent="0.35"/>
    <row r="6" spans="1:5" ht="18" customHeight="1" x14ac:dyDescent="0.45">
      <c r="B6" s="126" t="s">
        <v>251</v>
      </c>
      <c r="C6" s="127" t="s">
        <v>252</v>
      </c>
      <c r="D6" s="127" t="s">
        <v>253</v>
      </c>
    </row>
    <row r="7" spans="1:5" ht="18" customHeight="1" x14ac:dyDescent="0.35">
      <c r="B7" s="128" t="s">
        <v>16</v>
      </c>
      <c r="C7" s="130">
        <f>Energia!D37</f>
        <v>15445.57647</v>
      </c>
      <c r="D7" s="131">
        <f>IFERROR((C7/$C$12),"-")</f>
        <v>0.31302538006284419</v>
      </c>
    </row>
    <row r="8" spans="1:5" ht="18" customHeight="1" x14ac:dyDescent="0.35">
      <c r="B8" s="128" t="s">
        <v>76</v>
      </c>
      <c r="C8" s="130">
        <f>Matkustaminen!D42</f>
        <v>26208.721299999997</v>
      </c>
      <c r="D8" s="131">
        <f>IFERROR((C8/$C$12),"-")</f>
        <v>0.53115498549557594</v>
      </c>
    </row>
    <row r="9" spans="1:5" ht="18" customHeight="1" x14ac:dyDescent="0.35">
      <c r="B9" s="128" t="s">
        <v>129</v>
      </c>
      <c r="C9" s="130">
        <f>Jäte!D21</f>
        <v>392.52309090909085</v>
      </c>
      <c r="D9" s="131">
        <f>IFERROR((C9/$C$12),"-")</f>
        <v>7.9550083451990772E-3</v>
      </c>
    </row>
    <row r="10" spans="1:5" ht="18" customHeight="1" x14ac:dyDescent="0.35">
      <c r="B10" s="128" t="s">
        <v>167</v>
      </c>
      <c r="C10" s="130">
        <f>Hankinnat!D31</f>
        <v>1627.45</v>
      </c>
      <c r="D10" s="131">
        <f>IFERROR((C10/$C$12),"-")</f>
        <v>3.2982463022519733E-2</v>
      </c>
    </row>
    <row r="11" spans="1:5" ht="30" customHeight="1" thickBot="1" x14ac:dyDescent="0.4">
      <c r="B11" s="223" t="s">
        <v>189</v>
      </c>
      <c r="C11" s="225">
        <f>'Palvelut &amp; Tapahtumat'!E63</f>
        <v>5668.6177792998478</v>
      </c>
      <c r="D11" s="224">
        <f>IFERROR((C11/$C$12),"-")</f>
        <v>0.11488216307386104</v>
      </c>
    </row>
    <row r="12" spans="1:5" ht="18" customHeight="1" thickBot="1" x14ac:dyDescent="0.4">
      <c r="B12" s="129" t="s">
        <v>148</v>
      </c>
      <c r="C12" s="132">
        <f>SUM(C7:C11)</f>
        <v>49342.888640208934</v>
      </c>
      <c r="D12" s="133">
        <f>SUM(D7:D11)</f>
        <v>1</v>
      </c>
    </row>
  </sheetData>
  <sheetProtection sheet="1" objects="1" scenarios="1" formatCells="0"/>
  <mergeCells count="1">
    <mergeCell ref="A3:E3"/>
  </mergeCell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4"/>
  <sheetViews>
    <sheetView workbookViewId="0">
      <pane ySplit="1" topLeftCell="A2" activePane="bottomLeft" state="frozen"/>
      <selection pane="bottomLeft" activeCell="E78" sqref="E78"/>
    </sheetView>
  </sheetViews>
  <sheetFormatPr defaultColWidth="9.1796875" defaultRowHeight="14.5" x14ac:dyDescent="0.35"/>
  <cols>
    <col min="1" max="1" width="27.54296875" style="16" customWidth="1"/>
    <col min="2" max="2" width="31" style="16" bestFit="1" customWidth="1"/>
    <col min="3" max="3" width="12.453125" style="16" customWidth="1"/>
    <col min="4" max="4" width="11.81640625" style="16" customWidth="1"/>
    <col min="5" max="16384" width="9.1796875" style="16"/>
  </cols>
  <sheetData>
    <row r="1" spans="1:4" s="27" customFormat="1" ht="18.5" x14ac:dyDescent="0.45">
      <c r="A1" s="7" t="s">
        <v>254</v>
      </c>
    </row>
    <row r="2" spans="1:4" s="25" customFormat="1" ht="17" x14ac:dyDescent="0.4">
      <c r="A2" s="125" t="str">
        <f>Info!B2</f>
        <v>Pesäpuu ry</v>
      </c>
      <c r="B2" s="125">
        <f>Info!B4</f>
        <v>2019</v>
      </c>
    </row>
    <row r="3" spans="1:4" ht="33" customHeight="1" x14ac:dyDescent="0.35">
      <c r="A3" s="265" t="s">
        <v>255</v>
      </c>
      <c r="B3" s="266"/>
      <c r="C3" s="267"/>
    </row>
    <row r="4" spans="1:4" ht="17" x14ac:dyDescent="0.4">
      <c r="A4" s="64"/>
      <c r="B4" s="64"/>
    </row>
    <row r="6" spans="1:4" ht="16.5" customHeight="1" x14ac:dyDescent="0.35">
      <c r="A6" s="134" t="s">
        <v>16</v>
      </c>
    </row>
    <row r="7" spans="1:4" ht="16.5" customHeight="1" x14ac:dyDescent="0.35">
      <c r="A7" s="74"/>
    </row>
    <row r="8" spans="1:4" ht="15.75" customHeight="1" x14ac:dyDescent="0.45">
      <c r="A8" s="126" t="s">
        <v>251</v>
      </c>
      <c r="B8" s="135" t="s">
        <v>256</v>
      </c>
      <c r="C8" s="127" t="s">
        <v>253</v>
      </c>
    </row>
    <row r="9" spans="1:4" x14ac:dyDescent="0.35">
      <c r="A9" s="195" t="s">
        <v>20</v>
      </c>
      <c r="B9" s="140">
        <f>Energia!D6</f>
        <v>3857.6775899999998</v>
      </c>
      <c r="C9" s="141">
        <f>IFERROR((B9/$B$14*100),"-")</f>
        <v>24.975937916547053</v>
      </c>
    </row>
    <row r="10" spans="1:4" x14ac:dyDescent="0.35">
      <c r="A10" s="195" t="s">
        <v>37</v>
      </c>
      <c r="B10" s="142">
        <f>Energia!D15</f>
        <v>11587.898880000001</v>
      </c>
      <c r="C10" s="143">
        <f>IFERROR((B10/$B$14*100),"-")</f>
        <v>75.024062083452947</v>
      </c>
    </row>
    <row r="11" spans="1:4" x14ac:dyDescent="0.35">
      <c r="A11" s="195" t="s">
        <v>52</v>
      </c>
      <c r="B11" s="142">
        <f>Energia!D25</f>
        <v>0</v>
      </c>
      <c r="C11" s="143">
        <f>IFERROR((B11/$B$14*100),"-")</f>
        <v>0</v>
      </c>
    </row>
    <row r="12" spans="1:4" x14ac:dyDescent="0.35">
      <c r="A12" s="195" t="s">
        <v>56</v>
      </c>
      <c r="B12" s="142">
        <f>Energia!D30</f>
        <v>0</v>
      </c>
      <c r="C12" s="143">
        <f>IFERROR((B12/$B$14*100),"-")</f>
        <v>0</v>
      </c>
    </row>
    <row r="13" spans="1:4" ht="15" thickBot="1" x14ac:dyDescent="0.4">
      <c r="A13" s="196" t="s">
        <v>62</v>
      </c>
      <c r="B13" s="144" t="str">
        <f>Energia!D33</f>
        <v>0</v>
      </c>
      <c r="C13" s="145">
        <f>IFERROR((B13/$B$14*100),"-")</f>
        <v>0</v>
      </c>
    </row>
    <row r="14" spans="1:4" ht="16" thickBot="1" x14ac:dyDescent="0.4">
      <c r="A14" s="197" t="s">
        <v>148</v>
      </c>
      <c r="B14" s="132">
        <f>SUM(B9:B13)</f>
        <v>15445.57647</v>
      </c>
      <c r="C14" s="146">
        <f>SUM(C9:C13)</f>
        <v>100</v>
      </c>
    </row>
    <row r="16" spans="1:4" x14ac:dyDescent="0.35">
      <c r="C16" s="136"/>
      <c r="D16" s="137"/>
    </row>
    <row r="17" spans="1:4" s="103" customFormat="1" x14ac:dyDescent="0.35">
      <c r="C17" s="138"/>
      <c r="D17" s="139"/>
    </row>
    <row r="18" spans="1:4" x14ac:dyDescent="0.35">
      <c r="C18" s="136"/>
      <c r="D18" s="137"/>
    </row>
    <row r="19" spans="1:4" ht="15.5" x14ac:dyDescent="0.35">
      <c r="A19" s="134" t="s">
        <v>76</v>
      </c>
      <c r="C19" s="136"/>
      <c r="D19" s="137"/>
    </row>
    <row r="20" spans="1:4" x14ac:dyDescent="0.35">
      <c r="C20" s="136"/>
      <c r="D20" s="137"/>
    </row>
    <row r="21" spans="1:4" ht="17.5" x14ac:dyDescent="0.45">
      <c r="A21" s="126" t="s">
        <v>251</v>
      </c>
      <c r="B21" s="135" t="s">
        <v>256</v>
      </c>
      <c r="C21" s="127" t="s">
        <v>253</v>
      </c>
      <c r="D21" s="137"/>
    </row>
    <row r="22" spans="1:4" x14ac:dyDescent="0.35">
      <c r="A22" s="195" t="s">
        <v>78</v>
      </c>
      <c r="B22" s="140">
        <f>Matkustaminen!C9</f>
        <v>4599.0339999999997</v>
      </c>
      <c r="C22" s="141">
        <f t="shared" ref="C22:C27" si="0">IFERROR((B22/$B$28*100),"-")</f>
        <v>17.547723703712322</v>
      </c>
    </row>
    <row r="23" spans="1:4" x14ac:dyDescent="0.35">
      <c r="A23" s="195" t="s">
        <v>91</v>
      </c>
      <c r="B23" s="142">
        <f>Matkustaminen!C23</f>
        <v>6402.4961000000003</v>
      </c>
      <c r="C23" s="143">
        <f t="shared" si="0"/>
        <v>24.428876276386674</v>
      </c>
    </row>
    <row r="24" spans="1:4" x14ac:dyDescent="0.35">
      <c r="A24" s="195" t="s">
        <v>106</v>
      </c>
      <c r="B24" s="142">
        <f>Matkustaminen!C30</f>
        <v>1207.1912</v>
      </c>
      <c r="C24" s="143">
        <f t="shared" si="0"/>
        <v>4.6060667599223937</v>
      </c>
    </row>
    <row r="25" spans="1:4" x14ac:dyDescent="0.35">
      <c r="A25" s="195" t="s">
        <v>113</v>
      </c>
      <c r="B25" s="142">
        <f>Matkustaminen!C32</f>
        <v>0</v>
      </c>
      <c r="C25" s="143">
        <f t="shared" si="0"/>
        <v>0</v>
      </c>
    </row>
    <row r="26" spans="1:4" x14ac:dyDescent="0.35">
      <c r="A26" s="195" t="s">
        <v>115</v>
      </c>
      <c r="B26" s="142">
        <f>Matkustaminen!C35</f>
        <v>0</v>
      </c>
      <c r="C26" s="143">
        <f t="shared" si="0"/>
        <v>0</v>
      </c>
    </row>
    <row r="27" spans="1:4" ht="15" thickBot="1" x14ac:dyDescent="0.4">
      <c r="A27" s="196" t="s">
        <v>257</v>
      </c>
      <c r="B27" s="147">
        <f>Matkustaminen!D38</f>
        <v>14000</v>
      </c>
      <c r="C27" s="148">
        <f t="shared" si="0"/>
        <v>53.417333259978619</v>
      </c>
    </row>
    <row r="28" spans="1:4" ht="16" thickBot="1" x14ac:dyDescent="0.4">
      <c r="A28" s="197" t="s">
        <v>148</v>
      </c>
      <c r="B28" s="132">
        <f>SUM(B22:B27)</f>
        <v>26208.721299999997</v>
      </c>
      <c r="C28" s="149">
        <f>SUM(C22:C27)</f>
        <v>100</v>
      </c>
    </row>
    <row r="33" spans="1:3" s="103" customFormat="1" x14ac:dyDescent="0.35"/>
    <row r="35" spans="1:3" ht="15.5" x14ac:dyDescent="0.35">
      <c r="A35" s="134" t="s">
        <v>129</v>
      </c>
    </row>
    <row r="37" spans="1:3" ht="17.5" x14ac:dyDescent="0.45">
      <c r="A37" s="126" t="s">
        <v>251</v>
      </c>
      <c r="B37" s="135" t="s">
        <v>256</v>
      </c>
      <c r="C37" s="127" t="s">
        <v>253</v>
      </c>
    </row>
    <row r="38" spans="1:3" x14ac:dyDescent="0.35">
      <c r="A38" s="195" t="s">
        <v>141</v>
      </c>
      <c r="B38" s="140">
        <f>Jäte!C6</f>
        <v>94.463999999999984</v>
      </c>
      <c r="C38" s="141">
        <f>IFERROR((B38/$B$49*100),"-")</f>
        <v>24.065845344593509</v>
      </c>
    </row>
    <row r="39" spans="1:3" x14ac:dyDescent="0.35">
      <c r="A39" s="195" t="s">
        <v>145</v>
      </c>
      <c r="B39" s="130">
        <f>Jäte!C7</f>
        <v>14.4</v>
      </c>
      <c r="C39" s="141">
        <f t="shared" ref="C39:C47" si="1">IFERROR((B39/$B$49*100),"-")</f>
        <v>3.6685739854563284</v>
      </c>
    </row>
    <row r="40" spans="1:3" x14ac:dyDescent="0.35">
      <c r="A40" s="195" t="s">
        <v>134</v>
      </c>
      <c r="B40" s="130">
        <f>Jäte!C8</f>
        <v>0</v>
      </c>
      <c r="C40" s="141">
        <f t="shared" si="1"/>
        <v>0</v>
      </c>
    </row>
    <row r="41" spans="1:3" x14ac:dyDescent="0.35">
      <c r="A41" s="195" t="s">
        <v>258</v>
      </c>
      <c r="B41" s="130">
        <f>Jäte!C9</f>
        <v>5.25</v>
      </c>
      <c r="C41" s="141">
        <f t="shared" si="1"/>
        <v>1.3375009321976197</v>
      </c>
    </row>
    <row r="42" spans="1:3" x14ac:dyDescent="0.35">
      <c r="A42" s="195" t="s">
        <v>147</v>
      </c>
      <c r="B42" s="130">
        <f>Jäte!C10</f>
        <v>0</v>
      </c>
      <c r="C42" s="141">
        <f t="shared" si="1"/>
        <v>0</v>
      </c>
    </row>
    <row r="43" spans="1:3" x14ac:dyDescent="0.35">
      <c r="A43" s="195" t="s">
        <v>259</v>
      </c>
      <c r="B43" s="130">
        <f>Jäte!C11</f>
        <v>0</v>
      </c>
      <c r="C43" s="141">
        <f t="shared" si="1"/>
        <v>0</v>
      </c>
    </row>
    <row r="44" spans="1:3" x14ac:dyDescent="0.35">
      <c r="A44" s="195" t="s">
        <v>260</v>
      </c>
      <c r="B44" s="130">
        <f>Jäte!C12</f>
        <v>0</v>
      </c>
      <c r="C44" s="141">
        <f t="shared" si="1"/>
        <v>0</v>
      </c>
    </row>
    <row r="45" spans="1:3" x14ac:dyDescent="0.35">
      <c r="A45" s="195" t="s">
        <v>143</v>
      </c>
      <c r="B45" s="130">
        <f>Jäte!C13</f>
        <v>278.40909090909088</v>
      </c>
      <c r="C45" s="141">
        <f>IFERROR((B45/$B$49*100),"-")</f>
        <v>70.92807973775254</v>
      </c>
    </row>
    <row r="46" spans="1:3" x14ac:dyDescent="0.35">
      <c r="A46" s="195" t="s">
        <v>261</v>
      </c>
      <c r="B46" s="130">
        <f>Jäte!C14</f>
        <v>0</v>
      </c>
      <c r="C46" s="141">
        <f t="shared" si="1"/>
        <v>0</v>
      </c>
    </row>
    <row r="47" spans="1:3" x14ac:dyDescent="0.35">
      <c r="A47" s="195" t="s">
        <v>262</v>
      </c>
      <c r="B47" s="130">
        <f>Jäte!C15</f>
        <v>0</v>
      </c>
      <c r="C47" s="141">
        <f t="shared" si="1"/>
        <v>0</v>
      </c>
    </row>
    <row r="48" spans="1:3" ht="15" thickBot="1" x14ac:dyDescent="0.4">
      <c r="A48" s="196" t="s">
        <v>263</v>
      </c>
      <c r="B48" s="130">
        <f>Jäte!C16</f>
        <v>0</v>
      </c>
      <c r="C48" s="148">
        <f>IFERROR((B48/$B$49*100),"-")</f>
        <v>0</v>
      </c>
    </row>
    <row r="49" spans="1:3" ht="16" thickBot="1" x14ac:dyDescent="0.4">
      <c r="A49" s="197" t="s">
        <v>148</v>
      </c>
      <c r="B49" s="132">
        <f>SUM(B38:B48)</f>
        <v>392.52309090909085</v>
      </c>
      <c r="C49" s="149">
        <f>SUM(C38:C48)</f>
        <v>100</v>
      </c>
    </row>
    <row r="52" spans="1:3" s="103" customFormat="1" x14ac:dyDescent="0.35"/>
    <row r="54" spans="1:3" ht="15.5" x14ac:dyDescent="0.35">
      <c r="A54" s="134" t="s">
        <v>264</v>
      </c>
    </row>
    <row r="56" spans="1:3" ht="17.5" x14ac:dyDescent="0.45">
      <c r="A56" s="126" t="s">
        <v>251</v>
      </c>
      <c r="B56" s="135" t="s">
        <v>256</v>
      </c>
      <c r="C56" s="127" t="s">
        <v>253</v>
      </c>
    </row>
    <row r="57" spans="1:3" x14ac:dyDescent="0.35">
      <c r="A57" s="195" t="s">
        <v>265</v>
      </c>
      <c r="B57" s="140">
        <f>'Palvelut &amp; Tapahtumat'!D10</f>
        <v>16.909779299847759</v>
      </c>
      <c r="C57" s="141">
        <f t="shared" ref="C57:C62" si="2">IFERROR((B57/$B$63*100),"-")</f>
        <v>0.23176565530029208</v>
      </c>
    </row>
    <row r="58" spans="1:3" x14ac:dyDescent="0.35">
      <c r="A58" s="195" t="s">
        <v>266</v>
      </c>
      <c r="B58" s="142">
        <f>'Palvelut &amp; Tapahtumat'!C17</f>
        <v>893.28</v>
      </c>
      <c r="C58" s="143">
        <f t="shared" si="2"/>
        <v>12.243307313213061</v>
      </c>
    </row>
    <row r="59" spans="1:3" x14ac:dyDescent="0.35">
      <c r="A59" s="195" t="s">
        <v>267</v>
      </c>
      <c r="B59" s="142">
        <f>'Palvelut &amp; Tapahtumat'!C22</f>
        <v>3205.3980000000001</v>
      </c>
      <c r="C59" s="143">
        <f t="shared" si="2"/>
        <v>43.933226731997266</v>
      </c>
    </row>
    <row r="60" spans="1:3" x14ac:dyDescent="0.35">
      <c r="A60" s="195" t="s">
        <v>268</v>
      </c>
      <c r="B60" s="142">
        <f>'Palvelut &amp; Tapahtumat'!C37+'Palvelut &amp; Tapahtumat'!C48+'Palvelut &amp; Tapahtumat'!C51</f>
        <v>1550.5400000000002</v>
      </c>
      <c r="C60" s="143">
        <f t="shared" si="2"/>
        <v>21.251721432730367</v>
      </c>
    </row>
    <row r="61" spans="1:3" x14ac:dyDescent="0.35">
      <c r="A61" s="196" t="s">
        <v>269</v>
      </c>
      <c r="B61" s="142">
        <f>'Palvelut &amp; Tapahtumat'!C60</f>
        <v>2.4899999999999998</v>
      </c>
      <c r="C61" s="143">
        <f t="shared" si="2"/>
        <v>3.4127972427346991E-2</v>
      </c>
    </row>
    <row r="62" spans="1:3" ht="15" thickBot="1" x14ac:dyDescent="0.4">
      <c r="A62" s="196" t="s">
        <v>167</v>
      </c>
      <c r="B62" s="142">
        <f>Hankinnat!D31</f>
        <v>1627.45</v>
      </c>
      <c r="C62" s="143">
        <f t="shared" si="2"/>
        <v>22.305850894331673</v>
      </c>
    </row>
    <row r="63" spans="1:3" ht="16" thickBot="1" x14ac:dyDescent="0.4">
      <c r="A63" s="197" t="s">
        <v>148</v>
      </c>
      <c r="B63" s="132">
        <f>SUM(B57:B62)</f>
        <v>7296.0677792998476</v>
      </c>
      <c r="C63" s="149">
        <f>SUM(C57:C62)</f>
        <v>100</v>
      </c>
    </row>
    <row r="68" spans="1:3" s="103" customFormat="1" x14ac:dyDescent="0.35"/>
    <row r="70" spans="1:3" ht="17.5" x14ac:dyDescent="0.45">
      <c r="A70" s="135" t="s">
        <v>251</v>
      </c>
      <c r="B70" s="249" t="s">
        <v>256</v>
      </c>
      <c r="C70" s="127" t="s">
        <v>253</v>
      </c>
    </row>
    <row r="71" spans="1:3" ht="15.5" x14ac:dyDescent="0.35">
      <c r="A71" s="250" t="s">
        <v>143</v>
      </c>
      <c r="B71" s="247">
        <v>226</v>
      </c>
      <c r="C71" s="252">
        <f>IFERROR((B71/$B$73*100),"-")</f>
        <v>13.890596189305471</v>
      </c>
    </row>
    <row r="72" spans="1:3" ht="15" thickBot="1" x14ac:dyDescent="0.4">
      <c r="A72" s="251" t="s">
        <v>270</v>
      </c>
      <c r="B72" s="248">
        <v>1401</v>
      </c>
      <c r="C72" s="255">
        <f>IFERROR((B72/$B$73*100),"-")</f>
        <v>86.109403810694531</v>
      </c>
    </row>
    <row r="73" spans="1:3" ht="16" thickBot="1" x14ac:dyDescent="0.4">
      <c r="A73" s="129" t="s">
        <v>148</v>
      </c>
      <c r="B73" s="253">
        <f>SUM(B71:B72)</f>
        <v>1627</v>
      </c>
      <c r="C73" s="254">
        <f>SUM(C67:C72)</f>
        <v>100</v>
      </c>
    </row>
    <row r="74" spans="1:3" x14ac:dyDescent="0.35">
      <c r="A74" s="242"/>
      <c r="C74" s="243"/>
    </row>
    <row r="75" spans="1:3" x14ac:dyDescent="0.35">
      <c r="A75" s="242"/>
      <c r="C75" s="243"/>
    </row>
    <row r="76" spans="1:3" ht="15" thickBot="1" x14ac:dyDescent="0.4">
      <c r="A76" s="244"/>
      <c r="B76" s="245"/>
      <c r="C76" s="246"/>
    </row>
    <row r="78" spans="1:3" ht="17.5" x14ac:dyDescent="0.45">
      <c r="A78" s="126" t="s">
        <v>251</v>
      </c>
      <c r="B78" s="135" t="s">
        <v>256</v>
      </c>
      <c r="C78" s="127" t="s">
        <v>253</v>
      </c>
    </row>
    <row r="79" spans="1:3" x14ac:dyDescent="0.35">
      <c r="A79" s="256" t="s">
        <v>265</v>
      </c>
      <c r="B79" s="258">
        <v>17</v>
      </c>
      <c r="C79" s="260">
        <f>IFERROR((B79/$B$84*100),"-")</f>
        <v>0.29992942836979536</v>
      </c>
    </row>
    <row r="80" spans="1:3" x14ac:dyDescent="0.35">
      <c r="A80" s="256" t="s">
        <v>266</v>
      </c>
      <c r="B80" s="259">
        <v>893</v>
      </c>
      <c r="C80" s="261">
        <f>IFERROR((B80/$B$84*100),"-")</f>
        <v>15.755116443189838</v>
      </c>
    </row>
    <row r="81" spans="1:3" x14ac:dyDescent="0.35">
      <c r="A81" s="256" t="s">
        <v>267</v>
      </c>
      <c r="B81" s="259">
        <v>3205</v>
      </c>
      <c r="C81" s="261">
        <f>IFERROR((B81/$B$84*100),"-")</f>
        <v>56.545518701482003</v>
      </c>
    </row>
    <row r="82" spans="1:3" x14ac:dyDescent="0.35">
      <c r="A82" s="256" t="s">
        <v>268</v>
      </c>
      <c r="B82" s="259">
        <v>1551</v>
      </c>
      <c r="C82" s="261">
        <f>IFERROR((B82/$B$84*100),"-")</f>
        <v>27.364149611856032</v>
      </c>
    </row>
    <row r="83" spans="1:3" ht="15" thickBot="1" x14ac:dyDescent="0.4">
      <c r="A83" s="257" t="s">
        <v>269</v>
      </c>
      <c r="B83" s="259">
        <v>2</v>
      </c>
      <c r="C83" s="261">
        <f>IFERROR((B83/$B$84*100),"-")</f>
        <v>3.5285815102328866E-2</v>
      </c>
    </row>
    <row r="84" spans="1:3" ht="16" thickBot="1" x14ac:dyDescent="0.4">
      <c r="A84" s="129" t="s">
        <v>148</v>
      </c>
      <c r="B84" s="253">
        <f>SUM(B79:B83)</f>
        <v>5668</v>
      </c>
      <c r="C84" s="254">
        <f>SUM(C78:C83)</f>
        <v>100</v>
      </c>
    </row>
  </sheetData>
  <sheetProtection sheet="1" objects="1" scenarios="1" formatCells="0"/>
  <mergeCells count="1">
    <mergeCell ref="A3:C3"/>
  </mergeCells>
  <pageMargins left="0.7" right="0.7" top="0.75" bottom="0.75" header="0.3" footer="0.3"/>
  <pageSetup paperSize="9"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32"/>
  <sheetViews>
    <sheetView topLeftCell="D1" workbookViewId="0">
      <pane ySplit="1" topLeftCell="A6" activePane="bottomLeft" state="frozen"/>
      <selection pane="bottomLeft" activeCell="G6" sqref="G6"/>
    </sheetView>
  </sheetViews>
  <sheetFormatPr defaultColWidth="9.1796875" defaultRowHeight="14.5" x14ac:dyDescent="0.35"/>
  <cols>
    <col min="1" max="1" width="9.1796875" style="5"/>
    <col min="2" max="2" width="25" style="51" customWidth="1"/>
    <col min="3" max="3" width="80.54296875" style="58" customWidth="1"/>
    <col min="4" max="4" width="89" style="5" customWidth="1"/>
    <col min="5" max="16384" width="9.1796875" style="5"/>
  </cols>
  <sheetData>
    <row r="1" spans="1:4" s="2" customFormat="1" ht="18.5" x14ac:dyDescent="0.45">
      <c r="A1" s="1" t="s">
        <v>271</v>
      </c>
      <c r="B1" s="50"/>
      <c r="C1" s="44"/>
    </row>
    <row r="3" spans="1:4" s="183" customFormat="1" x14ac:dyDescent="0.35">
      <c r="A3" s="180" t="s">
        <v>16</v>
      </c>
      <c r="B3" s="181"/>
      <c r="C3" s="184"/>
      <c r="D3" s="183" t="s">
        <v>272</v>
      </c>
    </row>
    <row r="4" spans="1:4" x14ac:dyDescent="0.35">
      <c r="A4" s="6"/>
      <c r="B4" s="51" t="s">
        <v>273</v>
      </c>
      <c r="C4" s="52" t="s">
        <v>274</v>
      </c>
    </row>
    <row r="5" spans="1:4" ht="130.5" x14ac:dyDescent="0.35">
      <c r="A5" s="6"/>
      <c r="B5" s="51" t="s">
        <v>275</v>
      </c>
      <c r="C5" s="52" t="s">
        <v>276</v>
      </c>
      <c r="D5" s="192" t="s">
        <v>277</v>
      </c>
    </row>
    <row r="6" spans="1:4" ht="43.5" x14ac:dyDescent="0.35">
      <c r="B6" s="51" t="s">
        <v>278</v>
      </c>
      <c r="C6" s="52" t="s">
        <v>279</v>
      </c>
    </row>
    <row r="7" spans="1:4" ht="43.5" x14ac:dyDescent="0.35">
      <c r="B7" s="51" t="s">
        <v>52</v>
      </c>
      <c r="C7" s="52" t="s">
        <v>280</v>
      </c>
    </row>
    <row r="8" spans="1:4" x14ac:dyDescent="0.35">
      <c r="B8" s="51" t="s">
        <v>281</v>
      </c>
      <c r="C8" s="177" t="s">
        <v>282</v>
      </c>
    </row>
    <row r="9" spans="1:4" ht="29" x14ac:dyDescent="0.35">
      <c r="B9" s="51" t="s">
        <v>283</v>
      </c>
      <c r="C9" s="53" t="s">
        <v>284</v>
      </c>
    </row>
    <row r="10" spans="1:4" s="183" customFormat="1" x14ac:dyDescent="0.35">
      <c r="A10" s="180" t="s">
        <v>76</v>
      </c>
      <c r="B10" s="181"/>
      <c r="C10" s="182"/>
    </row>
    <row r="11" spans="1:4" ht="29" x14ac:dyDescent="0.35">
      <c r="A11" s="6"/>
      <c r="B11" s="51" t="s">
        <v>273</v>
      </c>
      <c r="C11" s="54" t="s">
        <v>285</v>
      </c>
      <c r="D11" s="56" t="s">
        <v>286</v>
      </c>
    </row>
    <row r="12" spans="1:4" ht="58" x14ac:dyDescent="0.35">
      <c r="B12" s="51" t="s">
        <v>78</v>
      </c>
      <c r="C12" s="54" t="s">
        <v>287</v>
      </c>
      <c r="D12" s="56" t="s">
        <v>288</v>
      </c>
    </row>
    <row r="13" spans="1:4" ht="159.5" x14ac:dyDescent="0.35">
      <c r="B13" s="51" t="s">
        <v>91</v>
      </c>
      <c r="C13" s="54" t="s">
        <v>289</v>
      </c>
    </row>
    <row r="14" spans="1:4" ht="74.5" x14ac:dyDescent="0.35">
      <c r="B14" s="51" t="s">
        <v>106</v>
      </c>
      <c r="C14" s="54" t="s">
        <v>290</v>
      </c>
      <c r="D14" s="56" t="s">
        <v>286</v>
      </c>
    </row>
    <row r="15" spans="1:4" ht="24.75" customHeight="1" x14ac:dyDescent="0.35">
      <c r="B15" s="51" t="s">
        <v>113</v>
      </c>
      <c r="C15" s="54" t="s">
        <v>291</v>
      </c>
    </row>
    <row r="16" spans="1:4" ht="29" x14ac:dyDescent="0.35">
      <c r="B16" s="51" t="s">
        <v>115</v>
      </c>
      <c r="C16" s="54" t="s">
        <v>292</v>
      </c>
    </row>
    <row r="17" spans="1:4" x14ac:dyDescent="0.35">
      <c r="B17" s="51" t="s">
        <v>257</v>
      </c>
      <c r="C17" s="54" t="s">
        <v>293</v>
      </c>
      <c r="D17" s="5" t="s">
        <v>294</v>
      </c>
    </row>
    <row r="18" spans="1:4" s="183" customFormat="1" x14ac:dyDescent="0.35">
      <c r="A18" s="180" t="s">
        <v>129</v>
      </c>
      <c r="B18" s="181"/>
      <c r="C18" s="186"/>
    </row>
    <row r="19" spans="1:4" ht="101.5" x14ac:dyDescent="0.35">
      <c r="C19" s="53" t="s">
        <v>295</v>
      </c>
      <c r="D19" s="56" t="s">
        <v>296</v>
      </c>
    </row>
    <row r="20" spans="1:4" s="190" customFormat="1" x14ac:dyDescent="0.35">
      <c r="A20" s="187" t="s">
        <v>167</v>
      </c>
      <c r="B20" s="188"/>
      <c r="C20" s="189"/>
    </row>
    <row r="21" spans="1:4" s="190" customFormat="1" ht="87" x14ac:dyDescent="0.35">
      <c r="B21" s="188" t="s">
        <v>143</v>
      </c>
      <c r="C21" s="189" t="s">
        <v>297</v>
      </c>
      <c r="D21" s="191" t="s">
        <v>298</v>
      </c>
    </row>
    <row r="22" spans="1:4" ht="29" x14ac:dyDescent="0.35">
      <c r="B22" s="51" t="s">
        <v>270</v>
      </c>
      <c r="C22" s="54" t="s">
        <v>299</v>
      </c>
    </row>
    <row r="23" spans="1:4" s="183" customFormat="1" x14ac:dyDescent="0.35">
      <c r="A23" s="180" t="s">
        <v>189</v>
      </c>
      <c r="B23" s="181"/>
      <c r="C23" s="185"/>
    </row>
    <row r="24" spans="1:4" ht="179" x14ac:dyDescent="0.35">
      <c r="A24" s="6"/>
      <c r="B24" s="51" t="s">
        <v>265</v>
      </c>
      <c r="C24" s="55" t="s">
        <v>300</v>
      </c>
      <c r="D24" s="56" t="s">
        <v>301</v>
      </c>
    </row>
    <row r="25" spans="1:4" x14ac:dyDescent="0.35">
      <c r="A25" s="6"/>
      <c r="B25" s="51" t="s">
        <v>267</v>
      </c>
      <c r="C25" s="52" t="s">
        <v>302</v>
      </c>
      <c r="D25" s="56" t="s">
        <v>286</v>
      </c>
    </row>
    <row r="26" spans="1:4" ht="31" x14ac:dyDescent="0.45">
      <c r="B26" s="51" t="s">
        <v>303</v>
      </c>
      <c r="C26" s="52" t="s">
        <v>304</v>
      </c>
      <c r="D26" s="56" t="s">
        <v>305</v>
      </c>
    </row>
    <row r="27" spans="1:4" ht="101.5" x14ac:dyDescent="0.35">
      <c r="B27" s="51" t="s">
        <v>268</v>
      </c>
      <c r="C27" s="52" t="s">
        <v>306</v>
      </c>
      <c r="D27" s="57" t="s">
        <v>307</v>
      </c>
    </row>
    <row r="28" spans="1:4" ht="29" x14ac:dyDescent="0.35">
      <c r="B28" s="51" t="s">
        <v>308</v>
      </c>
      <c r="C28" s="52" t="s">
        <v>309</v>
      </c>
      <c r="D28" s="57" t="s">
        <v>310</v>
      </c>
    </row>
    <row r="29" spans="1:4" ht="79.5" customHeight="1" x14ac:dyDescent="0.35">
      <c r="B29" s="51" t="s">
        <v>311</v>
      </c>
      <c r="C29" s="52" t="s">
        <v>312</v>
      </c>
      <c r="D29" s="56" t="s">
        <v>313</v>
      </c>
    </row>
    <row r="30" spans="1:4" x14ac:dyDescent="0.35">
      <c r="B30" s="51" t="s">
        <v>314</v>
      </c>
      <c r="C30" s="52" t="s">
        <v>315</v>
      </c>
      <c r="D30" s="56" t="s">
        <v>316</v>
      </c>
    </row>
    <row r="31" spans="1:4" x14ac:dyDescent="0.35">
      <c r="B31" s="51" t="s">
        <v>317</v>
      </c>
      <c r="C31" s="52" t="s">
        <v>318</v>
      </c>
      <c r="D31" s="56" t="s">
        <v>316</v>
      </c>
    </row>
    <row r="32" spans="1:4" s="217" customFormat="1" ht="72.5" x14ac:dyDescent="0.35">
      <c r="B32" s="218" t="s">
        <v>319</v>
      </c>
      <c r="C32" s="52" t="s">
        <v>320</v>
      </c>
      <c r="D32" s="219" t="s">
        <v>316</v>
      </c>
    </row>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12</vt:i4>
      </vt:variant>
    </vt:vector>
  </HeadingPairs>
  <TitlesOfParts>
    <vt:vector size="12" baseType="lpstr">
      <vt:lpstr>Info</vt:lpstr>
      <vt:lpstr>Energia</vt:lpstr>
      <vt:lpstr>Matkustaminen</vt:lpstr>
      <vt:lpstr>Jäte</vt:lpstr>
      <vt:lpstr>Hankinnat</vt:lpstr>
      <vt:lpstr>Palvelut &amp; Tapahtumat</vt:lpstr>
      <vt:lpstr>Hiilijalanjälki</vt:lpstr>
      <vt:lpstr>Eritellyt tulokset</vt:lpstr>
      <vt:lpstr>Laskennan perusteet</vt:lpstr>
      <vt:lpstr>Kertoimet</vt:lpstr>
      <vt:lpstr>Muutosloki</vt:lpstr>
      <vt:lpstr>Järjestön omat muistiinpanot</vt:lpstr>
    </vt:vector>
  </TitlesOfParts>
  <Manager/>
  <Company>University of Helsinki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Jaurimaa, Anna</dc:creator>
  <cp:keywords/>
  <dc:description/>
  <cp:lastModifiedBy>Hanna-Mari</cp:lastModifiedBy>
  <cp:revision/>
  <dcterms:created xsi:type="dcterms:W3CDTF">2018-07-03T10:33:00Z</dcterms:created>
  <dcterms:modified xsi:type="dcterms:W3CDTF">2022-04-18T11:04:10Z</dcterms:modified>
  <cp:category/>
  <cp:contentStatus/>
</cp:coreProperties>
</file>